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30" windowWidth="11340" windowHeight="6510" tabRatio="384"/>
  </bookViews>
  <sheets>
    <sheet name="Przepływy" sheetId="1" r:id="rId1"/>
    <sheet name="Harmonogram" sheetId="3860" r:id="rId2"/>
    <sheet name="Informacja dodatkowa" sheetId="3861" r:id="rId3"/>
  </sheets>
  <definedNames>
    <definedName name="_xlnm.Print_Area" localSheetId="1">Harmonogram!$A$2:$AX$17</definedName>
    <definedName name="_xlnm.Print_Area" localSheetId="0">Przepływy!$A$1:$V$55</definedName>
    <definedName name="_xlnm.Print_Titles" localSheetId="1">Harmonogram!$A:$B</definedName>
    <definedName name="_xlnm.Print_Titles" localSheetId="0">Przepływy!$6:$7</definedName>
  </definedName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H36" i="1"/>
  <c r="G42" i="1"/>
  <c r="O7" i="3860"/>
  <c r="Q7" i="3860"/>
  <c r="M7" i="3860"/>
  <c r="K7" i="3860"/>
  <c r="I7" i="3860"/>
  <c r="G7" i="3860"/>
  <c r="H7" i="3860"/>
  <c r="J7" i="3860"/>
  <c r="L7" i="3860"/>
  <c r="N7" i="3860"/>
  <c r="F19" i="1"/>
  <c r="F8" i="1"/>
  <c r="F23" i="1"/>
  <c r="F29" i="1"/>
  <c r="F13" i="1"/>
  <c r="V23" i="1" l="1"/>
  <c r="U23" i="1"/>
  <c r="T23" i="1"/>
  <c r="S23" i="1"/>
  <c r="R23" i="1"/>
  <c r="Q23" i="1"/>
  <c r="P23" i="1"/>
  <c r="O23" i="1"/>
  <c r="N23" i="1"/>
  <c r="M23" i="1"/>
  <c r="L23" i="1"/>
  <c r="K23" i="1"/>
  <c r="S7" i="3860"/>
  <c r="P7" i="3860"/>
  <c r="J23" i="1"/>
  <c r="I8" i="1" l="1"/>
  <c r="I23" i="1"/>
  <c r="I13" i="1"/>
  <c r="H23" i="1"/>
  <c r="H13" i="1" l="1"/>
  <c r="G26" i="1" l="1"/>
  <c r="H24" i="1"/>
  <c r="H35" i="1"/>
  <c r="I24" i="1"/>
  <c r="J24" i="1"/>
  <c r="J35" i="1" l="1"/>
  <c r="I35" i="1"/>
  <c r="E8" i="3860" l="1"/>
  <c r="F28" i="1"/>
  <c r="AW8" i="3860"/>
  <c r="G29" i="1"/>
  <c r="F51" i="1"/>
  <c r="F33" i="1"/>
  <c r="T7" i="3860" l="1"/>
  <c r="V7" i="3860"/>
  <c r="R7" i="3860"/>
  <c r="U7" i="3860"/>
  <c r="AI7" i="3860"/>
  <c r="AI10" i="3860" l="1"/>
  <c r="S10" i="3860"/>
  <c r="O10" i="3860"/>
  <c r="G24" i="1"/>
  <c r="G52" i="1"/>
  <c r="F24" i="1"/>
  <c r="G10" i="3860"/>
  <c r="AJ7" i="3860"/>
  <c r="V6" i="3860"/>
  <c r="R10" i="3860"/>
  <c r="N6" i="3860"/>
  <c r="J10" i="3860"/>
  <c r="E10" i="3860"/>
  <c r="V32" i="3860"/>
  <c r="AS21" i="3860"/>
  <c r="E16" i="3860"/>
  <c r="G16" i="3860"/>
  <c r="I10" i="3860"/>
  <c r="I16" i="3860"/>
  <c r="K10" i="3860"/>
  <c r="K16" i="3860"/>
  <c r="K17" i="3860"/>
  <c r="M10" i="3860"/>
  <c r="M16" i="3860"/>
  <c r="O16" i="3860"/>
  <c r="Q10" i="3860"/>
  <c r="Q16" i="3860"/>
  <c r="S16" i="3860"/>
  <c r="U10" i="3860"/>
  <c r="U16" i="3860"/>
  <c r="U17" i="3860" s="1"/>
  <c r="N36" i="1" s="1"/>
  <c r="N35" i="1" s="1"/>
  <c r="AI16" i="3860"/>
  <c r="AK10" i="3860"/>
  <c r="AK12" i="3860"/>
  <c r="AK16" i="3860" s="1"/>
  <c r="AM10" i="3860"/>
  <c r="AM17" i="3860" s="1"/>
  <c r="Q36" i="1" s="1"/>
  <c r="Q35" i="1" s="1"/>
  <c r="AM12" i="3860"/>
  <c r="AM16" i="3860" s="1"/>
  <c r="AO10" i="3860"/>
  <c r="AO17" i="3860" s="1"/>
  <c r="R36" i="1" s="1"/>
  <c r="R35" i="1" s="1"/>
  <c r="AO12" i="3860"/>
  <c r="AO16" i="3860" s="1"/>
  <c r="AQ10" i="3860"/>
  <c r="AQ17" i="3860" s="1"/>
  <c r="S36" i="1" s="1"/>
  <c r="S35" i="1" s="1"/>
  <c r="AQ12" i="3860"/>
  <c r="AQ16" i="3860" s="1"/>
  <c r="AS10" i="3860"/>
  <c r="AS12" i="3860"/>
  <c r="AS16" i="3860"/>
  <c r="AU10" i="3860"/>
  <c r="AU12" i="3860"/>
  <c r="AU16" i="3860" s="1"/>
  <c r="AW10" i="3860"/>
  <c r="AW12" i="3860"/>
  <c r="AW16" i="3860" s="1"/>
  <c r="C10" i="3860"/>
  <c r="C16" i="3860"/>
  <c r="AX10" i="3860"/>
  <c r="AX12" i="3860"/>
  <c r="AX16" i="3860"/>
  <c r="AV10" i="3860"/>
  <c r="AV12" i="3860"/>
  <c r="AV16" i="3860" s="1"/>
  <c r="AV17" i="3860" s="1"/>
  <c r="U21" i="1" s="1"/>
  <c r="AT10" i="3860"/>
  <c r="AT12" i="3860"/>
  <c r="AT16" i="3860" s="1"/>
  <c r="AR10" i="3860"/>
  <c r="AR12" i="3860"/>
  <c r="AR16" i="3860" s="1"/>
  <c r="AP10" i="3860"/>
  <c r="AP12" i="3860"/>
  <c r="AP16" i="3860"/>
  <c r="AN10" i="3860"/>
  <c r="AN12" i="3860"/>
  <c r="AN16" i="3860" s="1"/>
  <c r="AN17" i="3860" s="1"/>
  <c r="Q21" i="1" s="1"/>
  <c r="AL10" i="3860"/>
  <c r="AL12" i="3860"/>
  <c r="AL16" i="3860" s="1"/>
  <c r="AJ10" i="3860"/>
  <c r="AJ16" i="3860"/>
  <c r="AH10" i="3860"/>
  <c r="AH16" i="3860"/>
  <c r="AH17" i="3860"/>
  <c r="AG10" i="3860"/>
  <c r="AG16" i="3860"/>
  <c r="AG17" i="3860" s="1"/>
  <c r="AF10" i="3860"/>
  <c r="AF16" i="3860"/>
  <c r="AF17" i="3860" s="1"/>
  <c r="AE10" i="3860"/>
  <c r="AE16" i="3860"/>
  <c r="AD10" i="3860"/>
  <c r="AD16" i="3860"/>
  <c r="AD17" i="3860"/>
  <c r="AC10" i="3860"/>
  <c r="AC16" i="3860"/>
  <c r="AC17" i="3860" s="1"/>
  <c r="AB10" i="3860"/>
  <c r="AB16" i="3860"/>
  <c r="AB17" i="3860" s="1"/>
  <c r="AA10" i="3860"/>
  <c r="AA16" i="3860"/>
  <c r="Z10" i="3860"/>
  <c r="Z16" i="3860"/>
  <c r="Z17" i="3860"/>
  <c r="Y10" i="3860"/>
  <c r="Y16" i="3860"/>
  <c r="Y17" i="3860" s="1"/>
  <c r="X10" i="3860"/>
  <c r="X16" i="3860"/>
  <c r="X17" i="3860" s="1"/>
  <c r="W10" i="3860"/>
  <c r="W16" i="3860"/>
  <c r="V10" i="3860"/>
  <c r="V16" i="3860"/>
  <c r="V17" i="3860"/>
  <c r="N21" i="1" s="1"/>
  <c r="T10" i="3860"/>
  <c r="T16" i="3860"/>
  <c r="T17" i="3860" s="1"/>
  <c r="M21" i="1" s="1"/>
  <c r="R16" i="3860"/>
  <c r="P10" i="3860"/>
  <c r="P16" i="3860"/>
  <c r="P17" i="3860" s="1"/>
  <c r="K21" i="1" s="1"/>
  <c r="N10" i="3860"/>
  <c r="N16" i="3860"/>
  <c r="L10" i="3860"/>
  <c r="L16" i="3860"/>
  <c r="L17" i="3860"/>
  <c r="J16" i="3860"/>
  <c r="H10" i="3860"/>
  <c r="H16" i="3860"/>
  <c r="F10" i="3860"/>
  <c r="F16" i="3860"/>
  <c r="F17" i="3860"/>
  <c r="D10" i="3860"/>
  <c r="D16" i="3860"/>
  <c r="D17" i="3860" s="1"/>
  <c r="BC16" i="3860"/>
  <c r="BB16" i="3860"/>
  <c r="BA16" i="3860"/>
  <c r="AZ12" i="3860"/>
  <c r="AZ16" i="3860" s="1"/>
  <c r="AY11" i="3860"/>
  <c r="AY13" i="3860"/>
  <c r="AY12" i="3860"/>
  <c r="AY16" i="3860" s="1"/>
  <c r="AY15" i="3860"/>
  <c r="AY9" i="3860"/>
  <c r="AZ8" i="3860"/>
  <c r="AZ7" i="3860"/>
  <c r="BG6" i="3860"/>
  <c r="BF6" i="3860"/>
  <c r="BE6" i="3860"/>
  <c r="BD6" i="3860"/>
  <c r="BC6" i="3860"/>
  <c r="BB6" i="3860"/>
  <c r="BA6" i="3860"/>
  <c r="AX6" i="3860"/>
  <c r="AW6" i="3860"/>
  <c r="AV6" i="3860"/>
  <c r="AU6" i="3860"/>
  <c r="AT6" i="3860"/>
  <c r="AS6" i="3860"/>
  <c r="AR6" i="3860"/>
  <c r="AQ6" i="3860"/>
  <c r="AP6" i="3860"/>
  <c r="AO6" i="3860"/>
  <c r="AN6" i="3860"/>
  <c r="AM6" i="3860"/>
  <c r="AL6" i="3860"/>
  <c r="AK6" i="3860"/>
  <c r="AJ6" i="3860"/>
  <c r="AI6" i="3860"/>
  <c r="AH6" i="3860"/>
  <c r="AG6" i="3860"/>
  <c r="AF6" i="3860"/>
  <c r="AE6" i="3860"/>
  <c r="AD6" i="3860"/>
  <c r="AC6" i="3860"/>
  <c r="AB6" i="3860"/>
  <c r="AA6" i="3860"/>
  <c r="Z6" i="3860"/>
  <c r="Y6" i="3860"/>
  <c r="X6" i="3860"/>
  <c r="W6" i="3860"/>
  <c r="U6" i="3860"/>
  <c r="T6" i="3860"/>
  <c r="S6" i="3860"/>
  <c r="Q6" i="3860"/>
  <c r="P6" i="3860"/>
  <c r="O6" i="3860"/>
  <c r="M6" i="3860"/>
  <c r="L6" i="3860"/>
  <c r="K6" i="3860"/>
  <c r="I6" i="3860"/>
  <c r="H6" i="3860"/>
  <c r="G6" i="3860"/>
  <c r="F6" i="3860"/>
  <c r="E6" i="3860"/>
  <c r="D6" i="3860"/>
  <c r="C6" i="3860"/>
  <c r="E18" i="1"/>
  <c r="E24" i="1"/>
  <c r="E25" i="1" s="1"/>
  <c r="E26" i="1"/>
  <c r="E35" i="1"/>
  <c r="U24" i="1"/>
  <c r="J26" i="1"/>
  <c r="K26" i="1"/>
  <c r="L26" i="1"/>
  <c r="J13" i="1"/>
  <c r="J18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K10" i="1"/>
  <c r="K11" i="1"/>
  <c r="K24" i="1"/>
  <c r="L10" i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L11" i="1"/>
  <c r="L24" i="1"/>
  <c r="V36" i="1"/>
  <c r="M11" i="1"/>
  <c r="N11" i="1" s="1"/>
  <c r="O11" i="1" s="1"/>
  <c r="P11" i="1" s="1"/>
  <c r="Q11" i="1" s="1"/>
  <c r="R11" i="1" s="1"/>
  <c r="S11" i="1" s="1"/>
  <c r="T11" i="1" s="1"/>
  <c r="U11" i="1" s="1"/>
  <c r="V11" i="1" s="1"/>
  <c r="K15" i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K14" i="1"/>
  <c r="K13" i="1" s="1"/>
  <c r="K18" i="1" s="1"/>
  <c r="V26" i="1"/>
  <c r="U26" i="1"/>
  <c r="H17" i="1"/>
  <c r="H18" i="1"/>
  <c r="G18" i="1"/>
  <c r="F26" i="1"/>
  <c r="C8" i="1"/>
  <c r="C13" i="1"/>
  <c r="C24" i="1"/>
  <c r="C26" i="1"/>
  <c r="C35" i="1"/>
  <c r="D8" i="1"/>
  <c r="D13" i="1"/>
  <c r="D18" i="1" s="1"/>
  <c r="D47" i="1" s="1"/>
  <c r="D24" i="1"/>
  <c r="D26" i="1"/>
  <c r="D35" i="1"/>
  <c r="I52" i="1"/>
  <c r="I18" i="1"/>
  <c r="I53" i="1" s="1"/>
  <c r="K52" i="1"/>
  <c r="B35" i="1"/>
  <c r="B8" i="1"/>
  <c r="B13" i="1"/>
  <c r="B18" i="1" s="1"/>
  <c r="B24" i="1"/>
  <c r="B26" i="1"/>
  <c r="H26" i="1"/>
  <c r="I26" i="1"/>
  <c r="M26" i="1"/>
  <c r="N26" i="1"/>
  <c r="O26" i="1"/>
  <c r="P26" i="1"/>
  <c r="Q26" i="1"/>
  <c r="R26" i="1"/>
  <c r="S26" i="1"/>
  <c r="T26" i="1"/>
  <c r="H52" i="1"/>
  <c r="J52" i="1"/>
  <c r="L52" i="1"/>
  <c r="C41" i="1"/>
  <c r="D41" i="1"/>
  <c r="C40" i="1"/>
  <c r="D40" i="1"/>
  <c r="F41" i="1"/>
  <c r="I40" i="1"/>
  <c r="K40" i="1"/>
  <c r="B40" i="1"/>
  <c r="B41" i="1"/>
  <c r="G41" i="1"/>
  <c r="I41" i="1"/>
  <c r="K41" i="1"/>
  <c r="L40" i="1"/>
  <c r="L41" i="1"/>
  <c r="J40" i="1"/>
  <c r="J41" i="1"/>
  <c r="H40" i="1"/>
  <c r="H41" i="1"/>
  <c r="F52" i="1"/>
  <c r="F18" i="1"/>
  <c r="G55" i="1" s="1"/>
  <c r="F40" i="1"/>
  <c r="V35" i="1"/>
  <c r="E40" i="1"/>
  <c r="E41" i="1"/>
  <c r="M24" i="1"/>
  <c r="E47" i="1"/>
  <c r="E50" i="1"/>
  <c r="E49" i="1"/>
  <c r="E53" i="1"/>
  <c r="E46" i="1"/>
  <c r="M52" i="1"/>
  <c r="M41" i="1"/>
  <c r="M40" i="1"/>
  <c r="N40" i="1"/>
  <c r="N41" i="1"/>
  <c r="N52" i="1"/>
  <c r="N24" i="1"/>
  <c r="O24" i="1"/>
  <c r="O52" i="1"/>
  <c r="O40" i="1"/>
  <c r="O41" i="1"/>
  <c r="P40" i="1"/>
  <c r="P41" i="1"/>
  <c r="P52" i="1"/>
  <c r="P24" i="1"/>
  <c r="Q24" i="1"/>
  <c r="Q52" i="1"/>
  <c r="Q41" i="1"/>
  <c r="Q40" i="1"/>
  <c r="R24" i="1"/>
  <c r="R40" i="1"/>
  <c r="R41" i="1"/>
  <c r="R52" i="1"/>
  <c r="S52" i="1"/>
  <c r="S40" i="1"/>
  <c r="S41" i="1"/>
  <c r="S24" i="1"/>
  <c r="T24" i="1"/>
  <c r="T40" i="1"/>
  <c r="T41" i="1"/>
  <c r="T52" i="1"/>
  <c r="U41" i="1"/>
  <c r="U40" i="1"/>
  <c r="U52" i="1"/>
  <c r="V24" i="1"/>
  <c r="V40" i="1"/>
  <c r="V41" i="1"/>
  <c r="V52" i="1"/>
  <c r="D46" i="1"/>
  <c r="D49" i="1"/>
  <c r="D50" i="1"/>
  <c r="K25" i="1"/>
  <c r="I39" i="1"/>
  <c r="J25" i="1"/>
  <c r="K55" i="1"/>
  <c r="N17" i="3860" l="1"/>
  <c r="Q17" i="3860"/>
  <c r="L35" i="1" s="1"/>
  <c r="G53" i="1"/>
  <c r="H55" i="1"/>
  <c r="I50" i="1"/>
  <c r="I49" i="1"/>
  <c r="L55" i="1"/>
  <c r="L14" i="1"/>
  <c r="D25" i="1"/>
  <c r="I25" i="1"/>
  <c r="H25" i="1"/>
  <c r="M17" i="3860"/>
  <c r="J39" i="1" s="1"/>
  <c r="AZ6" i="3860"/>
  <c r="B49" i="1"/>
  <c r="B25" i="1"/>
  <c r="B46" i="1"/>
  <c r="B50" i="1"/>
  <c r="B47" i="1"/>
  <c r="J50" i="1"/>
  <c r="J49" i="1"/>
  <c r="AP17" i="3860"/>
  <c r="R21" i="1" s="1"/>
  <c r="AX17" i="3860"/>
  <c r="V21" i="1" s="1"/>
  <c r="AS17" i="3860"/>
  <c r="T36" i="1" s="1"/>
  <c r="T35" i="1" s="1"/>
  <c r="G17" i="3860"/>
  <c r="G35" i="1" s="1"/>
  <c r="G39" i="1" s="1"/>
  <c r="S17" i="3860"/>
  <c r="M36" i="1" s="1"/>
  <c r="C18" i="1"/>
  <c r="W17" i="3860"/>
  <c r="AA17" i="3860"/>
  <c r="AE17" i="3860"/>
  <c r="AJ17" i="3860"/>
  <c r="O21" i="1" s="1"/>
  <c r="AL17" i="3860"/>
  <c r="P21" i="1" s="1"/>
  <c r="AR17" i="3860"/>
  <c r="S21" i="1" s="1"/>
  <c r="AT17" i="3860"/>
  <c r="T21" i="1" s="1"/>
  <c r="C17" i="3860"/>
  <c r="AK17" i="3860"/>
  <c r="P36" i="1" s="1"/>
  <c r="P35" i="1" s="1"/>
  <c r="J17" i="3860"/>
  <c r="R17" i="3860"/>
  <c r="L21" i="1" s="1"/>
  <c r="O17" i="3860"/>
  <c r="K49" i="1" s="1"/>
  <c r="AI17" i="3860"/>
  <c r="O36" i="1" s="1"/>
  <c r="B39" i="1"/>
  <c r="H17" i="3860"/>
  <c r="G49" i="1" s="1"/>
  <c r="I17" i="3860"/>
  <c r="H39" i="1" s="1"/>
  <c r="AU17" i="3860"/>
  <c r="U36" i="1" s="1"/>
  <c r="E17" i="3860"/>
  <c r="F36" i="1" s="1"/>
  <c r="AY10" i="3860"/>
  <c r="J6" i="3860"/>
  <c r="R6" i="3860"/>
  <c r="AY7" i="3860"/>
  <c r="AY8" i="3860"/>
  <c r="O35" i="1"/>
  <c r="M35" i="1"/>
  <c r="F25" i="1"/>
  <c r="G25" i="1"/>
  <c r="I55" i="1"/>
  <c r="I54" i="1" s="1"/>
  <c r="G40" i="1"/>
  <c r="J55" i="1"/>
  <c r="AY17" i="3860" l="1"/>
  <c r="AZ17" i="3860"/>
  <c r="K53" i="1"/>
  <c r="K54" i="1" s="1"/>
  <c r="K35" i="1"/>
  <c r="K39" i="1" s="1"/>
  <c r="K50" i="1"/>
  <c r="J53" i="1"/>
  <c r="J54" i="1" s="1"/>
  <c r="L13" i="1"/>
  <c r="L18" i="1" s="1"/>
  <c r="M14" i="1"/>
  <c r="H49" i="1"/>
  <c r="G54" i="1"/>
  <c r="C46" i="1"/>
  <c r="C25" i="1"/>
  <c r="E55" i="1"/>
  <c r="E54" i="1" s="1"/>
  <c r="C47" i="1"/>
  <c r="C49" i="1"/>
  <c r="C50" i="1"/>
  <c r="L53" i="1"/>
  <c r="L54" i="1" s="1"/>
  <c r="F55" i="1"/>
  <c r="G50" i="1"/>
  <c r="H50" i="1"/>
  <c r="H53" i="1"/>
  <c r="H54" i="1" s="1"/>
  <c r="F42" i="1"/>
  <c r="F50" i="1"/>
  <c r="F53" i="1"/>
  <c r="F54" i="1" s="1"/>
  <c r="F35" i="1"/>
  <c r="F39" i="1" s="1"/>
  <c r="F49" i="1"/>
  <c r="AY6" i="3860"/>
  <c r="U35" i="1"/>
  <c r="L25" i="1" l="1"/>
  <c r="L2" i="1" s="1"/>
  <c r="L50" i="1"/>
  <c r="M55" i="1"/>
  <c r="M13" i="1"/>
  <c r="M18" i="1" s="1"/>
  <c r="N14" i="1"/>
  <c r="L39" i="1"/>
  <c r="L49" i="1"/>
  <c r="F46" i="1"/>
  <c r="F47" i="1"/>
  <c r="N55" i="1" l="1"/>
  <c r="M49" i="1"/>
  <c r="M25" i="1"/>
  <c r="M2" i="1" s="1"/>
  <c r="M53" i="1"/>
  <c r="M54" i="1" s="1"/>
  <c r="M50" i="1"/>
  <c r="M39" i="1"/>
  <c r="O14" i="1"/>
  <c r="N13" i="1"/>
  <c r="N18" i="1" s="1"/>
  <c r="H42" i="1"/>
  <c r="I42" i="1" s="1"/>
  <c r="J42" i="1" s="1"/>
  <c r="K42" i="1" s="1"/>
  <c r="G46" i="1"/>
  <c r="G47" i="1"/>
  <c r="O55" i="1" l="1"/>
  <c r="N49" i="1"/>
  <c r="N39" i="1"/>
  <c r="N25" i="1"/>
  <c r="N2" i="1" s="1"/>
  <c r="N50" i="1"/>
  <c r="N53" i="1"/>
  <c r="N54" i="1" s="1"/>
  <c r="P14" i="1"/>
  <c r="O13" i="1"/>
  <c r="O18" i="1" s="1"/>
  <c r="H46" i="1"/>
  <c r="H47" i="1"/>
  <c r="O53" i="1" l="1"/>
  <c r="O54" i="1" s="1"/>
  <c r="O50" i="1"/>
  <c r="O39" i="1"/>
  <c r="O25" i="1"/>
  <c r="O2" i="1" s="1"/>
  <c r="O49" i="1"/>
  <c r="P55" i="1"/>
  <c r="Q14" i="1"/>
  <c r="P13" i="1"/>
  <c r="P18" i="1" s="1"/>
  <c r="I46" i="1"/>
  <c r="I47" i="1"/>
  <c r="P25" i="1" l="1"/>
  <c r="P2" i="1" s="1"/>
  <c r="P53" i="1"/>
  <c r="P54" i="1" s="1"/>
  <c r="Q55" i="1"/>
  <c r="P50" i="1"/>
  <c r="P39" i="1"/>
  <c r="P49" i="1"/>
  <c r="R14" i="1"/>
  <c r="Q13" i="1"/>
  <c r="Q18" i="1" s="1"/>
  <c r="J47" i="1"/>
  <c r="J46" i="1"/>
  <c r="R55" i="1" l="1"/>
  <c r="Q49" i="1"/>
  <c r="Q39" i="1"/>
  <c r="Q25" i="1"/>
  <c r="Q2" i="1" s="1"/>
  <c r="Q53" i="1"/>
  <c r="Q54" i="1" s="1"/>
  <c r="Q50" i="1"/>
  <c r="S14" i="1"/>
  <c r="R13" i="1"/>
  <c r="R18" i="1" s="1"/>
  <c r="K47" i="1"/>
  <c r="L42" i="1"/>
  <c r="K46" i="1"/>
  <c r="R50" i="1" l="1"/>
  <c r="R39" i="1"/>
  <c r="R53" i="1"/>
  <c r="R54" i="1" s="1"/>
  <c r="R25" i="1"/>
  <c r="R2" i="1" s="1"/>
  <c r="S55" i="1"/>
  <c r="R49" i="1"/>
  <c r="S13" i="1"/>
  <c r="S18" i="1" s="1"/>
  <c r="T14" i="1"/>
  <c r="L47" i="1"/>
  <c r="L46" i="1"/>
  <c r="M42" i="1"/>
  <c r="U14" i="1" l="1"/>
  <c r="T13" i="1"/>
  <c r="T18" i="1" s="1"/>
  <c r="S50" i="1"/>
  <c r="T55" i="1"/>
  <c r="S25" i="1"/>
  <c r="S2" i="1" s="1"/>
  <c r="S53" i="1"/>
  <c r="S54" i="1" s="1"/>
  <c r="S49" i="1"/>
  <c r="S39" i="1"/>
  <c r="N42" i="1"/>
  <c r="M46" i="1"/>
  <c r="M47" i="1"/>
  <c r="T39" i="1" l="1"/>
  <c r="T53" i="1"/>
  <c r="T54" i="1" s="1"/>
  <c r="T25" i="1"/>
  <c r="T2" i="1" s="1"/>
  <c r="T50" i="1"/>
  <c r="T49" i="1"/>
  <c r="U55" i="1"/>
  <c r="U13" i="1"/>
  <c r="U18" i="1" s="1"/>
  <c r="V14" i="1"/>
  <c r="V13" i="1" s="1"/>
  <c r="V18" i="1" s="1"/>
  <c r="N47" i="1"/>
  <c r="O42" i="1"/>
  <c r="N46" i="1"/>
  <c r="V50" i="1" l="1"/>
  <c r="V25" i="1"/>
  <c r="V2" i="1" s="1"/>
  <c r="V53" i="1"/>
  <c r="V49" i="1"/>
  <c r="V39" i="1"/>
  <c r="V55" i="1"/>
  <c r="U53" i="1"/>
  <c r="U54" i="1" s="1"/>
  <c r="U25" i="1"/>
  <c r="U2" i="1" s="1"/>
  <c r="U39" i="1"/>
  <c r="U49" i="1"/>
  <c r="U50" i="1"/>
  <c r="O47" i="1"/>
  <c r="O46" i="1"/>
  <c r="P42" i="1"/>
  <c r="V54" i="1" l="1"/>
  <c r="P46" i="1"/>
  <c r="Q42" i="1"/>
  <c r="P47" i="1"/>
  <c r="Q46" i="1" l="1"/>
  <c r="R42" i="1"/>
  <c r="Q47" i="1"/>
  <c r="S42" i="1" l="1"/>
  <c r="R46" i="1"/>
  <c r="R47" i="1"/>
  <c r="T42" i="1" l="1"/>
  <c r="S46" i="1"/>
  <c r="S47" i="1"/>
  <c r="T46" i="1" l="1"/>
  <c r="U42" i="1"/>
  <c r="T47" i="1"/>
  <c r="V42" i="1" l="1"/>
  <c r="U47" i="1"/>
  <c r="U46" i="1"/>
  <c r="V47" i="1" l="1"/>
  <c r="V46" i="1"/>
</calcChain>
</file>

<file path=xl/sharedStrings.xml><?xml version="1.0" encoding="utf-8"?>
<sst xmlns="http://schemas.openxmlformats.org/spreadsheetml/2006/main" count="189" uniqueCount="96">
  <si>
    <t>Wyszczególnienie</t>
  </si>
  <si>
    <t xml:space="preserve"> - prywatyzacji majątku</t>
  </si>
  <si>
    <t xml:space="preserve"> - nadwyżki budżetu</t>
  </si>
  <si>
    <t xml:space="preserve"> - wolnych środków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</si>
  <si>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</si>
  <si>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</si>
  <si>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</si>
  <si>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</si>
  <si>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</si>
  <si>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</si>
  <si>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</si>
  <si>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</si>
  <si>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</si>
  <si>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</si>
  <si>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</si>
  <si>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</si>
  <si>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</si>
  <si>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</si>
  <si>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</si>
  <si>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</si>
  <si>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</si>
  <si>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</si>
  <si>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</si>
  <si>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</si>
  <si>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</si>
  <si>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</si>
  <si>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</si>
  <si>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</si>
  <si>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</si>
  <si>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</si>
  <si>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</si>
  <si>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</si>
  <si>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 xml:space="preserve">Planowane do zaciągnięcia zobowiązania </t>
  </si>
  <si>
    <t>III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</si>
  <si>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</si>
  <si>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</si>
  <si>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</si>
  <si>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</si>
  <si>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</si>
  <si>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</si>
  <si>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</si>
  <si>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</si>
  <si>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</si>
  <si>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</si>
  <si>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</si>
  <si>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</si>
  <si>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</si>
  <si>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</si>
  <si>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</si>
  <si>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</si>
  <si>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</si>
  <si>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</si>
  <si>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</si>
  <si>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</si>
  <si>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</si>
  <si>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</si>
  <si>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</si>
  <si>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</si>
  <si>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</si>
  <si>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</si>
  <si>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</si>
  <si>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</si>
  <si>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</si>
  <si>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Rok 2025</t>
  </si>
  <si>
    <t>Wykonanie        2008 rok</t>
  </si>
  <si>
    <t>V. Zadłużenie ogółem na koniec roku</t>
  </si>
  <si>
    <t>VI. Umorzenia pożyczek</t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</si>
  <si>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</si>
  <si>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</si>
  <si>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</si>
  <si>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</si>
  <si>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</si>
  <si>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</si>
  <si>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</si>
  <si>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</si>
  <si>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</si>
  <si>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>Wykonanie         2009 rok</t>
  </si>
  <si>
    <t xml:space="preserve"> - pozostałe rozchody (udzielenie pożyczki)</t>
  </si>
  <si>
    <t>Rok 2026</t>
  </si>
  <si>
    <t>Rok 2027</t>
  </si>
  <si>
    <t>`</t>
  </si>
  <si>
    <t>w tym: dochody ze sprzedaży majątku  (§ 077, 078, 087)</t>
  </si>
  <si>
    <t>Wykonanie             2007 rok</t>
  </si>
  <si>
    <t>stan 31.10.2010</t>
  </si>
  <si>
    <t>dodatkowo 1 688 103,00</t>
  </si>
  <si>
    <t>X</t>
  </si>
  <si>
    <r>
      <t xml:space="preserve">w tym </t>
    </r>
    <r>
      <rPr>
        <b/>
        <vertAlign val="superscript"/>
        <sz val="18"/>
        <rFont val="Times New Roman"/>
        <family val="1"/>
        <charset val="238"/>
      </rPr>
      <t>*1</t>
    </r>
    <r>
      <rPr>
        <b/>
        <sz val="18"/>
        <rFont val="Times New Roman"/>
        <family val="1"/>
        <charset val="238"/>
      </rPr>
      <t>: - potencjalne spłaty poręczenia(eń) *</t>
    </r>
    <r>
      <rPr>
        <b/>
        <vertAlign val="superscript"/>
        <sz val="18"/>
        <rFont val="Times New Roman"/>
        <family val="1"/>
        <charset val="238"/>
      </rPr>
      <t xml:space="preserve">   </t>
    </r>
    <r>
      <rPr>
        <b/>
        <sz val="18"/>
        <rFont val="Times New Roman"/>
        <family val="1"/>
        <charset val="238"/>
      </rPr>
      <t>wraz z odsetkami</t>
    </r>
  </si>
  <si>
    <r>
      <t xml:space="preserve"> - odsetki od kredytu(ów) * i pożyczki(ek) *</t>
    </r>
    <r>
      <rPr>
        <b/>
        <vertAlign val="superscript"/>
        <sz val="18"/>
        <rFont val="Times New Roman"/>
        <family val="1"/>
        <charset val="238"/>
      </rPr>
      <t>2</t>
    </r>
  </si>
  <si>
    <r>
      <t xml:space="preserve">VII Zobowiązania wymagalne                                </t>
    </r>
    <r>
      <rPr>
        <b/>
        <i/>
        <sz val="18"/>
        <rFont val="Times New Roman"/>
        <family val="1"/>
        <charset val="238"/>
      </rPr>
      <t>(na dzień sporządzenia przepływów)</t>
    </r>
  </si>
  <si>
    <r>
      <t>VIII. Umowy o terminie platności dłuższym niż 6 m-cy (łącznie z leasingiem)*</t>
    </r>
    <r>
      <rPr>
        <b/>
        <vertAlign val="superscript"/>
        <sz val="18"/>
        <rFont val="Times New Roman"/>
        <family val="1"/>
        <charset val="238"/>
      </rPr>
      <t>3</t>
    </r>
  </si>
  <si>
    <r>
      <t>X. Wyłączenia na podstawie art. 170 ust. 3 ustawy o finansach publicznych z dnia 30 czerwca 2005 r.*</t>
    </r>
    <r>
      <rPr>
        <b/>
        <vertAlign val="superscript"/>
        <sz val="18"/>
        <rFont val="Times New Roman"/>
        <family val="1"/>
        <charset val="238"/>
      </rPr>
      <t xml:space="preserve">4 </t>
    </r>
  </si>
  <si>
    <r>
      <t>XII. Wyłączenia na podstawie art. 169 ust. 3 ustawy o finansach publicznych z dnia 30 czerwca 2005 r. (raty i odsetki)*</t>
    </r>
    <r>
      <rPr>
        <b/>
        <vertAlign val="superscript"/>
        <sz val="18"/>
        <rFont val="Times New Roman"/>
        <family val="1"/>
        <charset val="238"/>
      </rPr>
      <t>5</t>
    </r>
    <r>
      <rPr>
        <b/>
        <sz val="18"/>
        <rFont val="Times New Roman"/>
        <family val="1"/>
        <charset val="238"/>
      </rPr>
      <t xml:space="preserve"> i art.243 ustawy  o finansach publ. z 27 sierpnia 2009 r.(od 2014 r.)</t>
    </r>
  </si>
  <si>
    <t>1.Dochody bieżące z tego</t>
  </si>
  <si>
    <t>Wykonanie 2010 roku</t>
  </si>
  <si>
    <t xml:space="preserve"> Prognoza kwoty długu na lata 2012–2027</t>
  </si>
  <si>
    <t>Zał.Nr 2 do uchwały Rady Gminy Nr 97/XII/2011 z dnia 29.12.2011r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</si>
</sst>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 CE"/>
      <charset val="238"/>
    </font>
    <font>
      <sz val="10"/>
      <name val="Arial CE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0"/>
      <color indexed="10"/>
      <name val="Arial CE"/>
      <charset val="238"/>
    </font>
    <font>
      <b/>
      <sz val="10"/>
      <color indexed="62"/>
      <name val="Arial CE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8"/>
      <color indexed="9"/>
      <name val="Times New Roman"/>
      <family val="1"/>
      <charset val="238"/>
    </font>
    <font>
      <b/>
      <vertAlign val="superscript"/>
      <sz val="18"/>
      <name val="Times New Roman"/>
      <family val="1"/>
      <charset val="238"/>
    </font>
    <font>
      <b/>
      <sz val="18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0" fillId="0" borderId="0" xfId="0" applyFont="1" applyFill="1" applyProtection="1"/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/>
    </xf>
    <xf numFmtId="0" fontId="12" fillId="0" borderId="0" xfId="0" applyFont="1" applyFill="1" applyProtection="1"/>
    <xf numFmtId="0" fontId="12" fillId="0" borderId="0" xfId="0" applyFont="1" applyFill="1"/>
    <xf numFmtId="0" fontId="12" fillId="0" borderId="0" xfId="0" applyFont="1" applyFill="1" applyAlignment="1"/>
    <xf numFmtId="3" fontId="12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Protection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 applyProtection="1">
      <alignment horizontal="left" vertical="center" wrapText="1"/>
    </xf>
    <xf numFmtId="3" fontId="11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Fill="1" applyProtection="1"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 applyProtection="1">
      <alignment vertical="center" wrapText="1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</xf>
    <xf numFmtId="3" fontId="10" fillId="0" borderId="6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</xf>
    <xf numFmtId="3" fontId="10" fillId="0" borderId="7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Protection="1">
      <protection locked="0"/>
    </xf>
    <xf numFmtId="3" fontId="10" fillId="0" borderId="9" xfId="0" applyNumberFormat="1" applyFont="1" applyFill="1" applyBorder="1" applyAlignment="1" applyProtection="1">
      <alignment vertical="center" wrapText="1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vertical="center" wrapText="1"/>
    </xf>
    <xf numFmtId="165" fontId="10" fillId="0" borderId="2" xfId="0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vertical="center" wrapText="1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0" xfId="0" applyNumberFormat="1" applyFont="1" applyFill="1"/>
    <xf numFmtId="164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14" fillId="0" borderId="3" xfId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wrapText="1"/>
    </xf>
    <xf numFmtId="0" fontId="4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/>
    <xf numFmtId="3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/>
    <xf numFmtId="0" fontId="3" fillId="0" borderId="7" xfId="0" applyFont="1" applyFill="1" applyBorder="1"/>
    <xf numFmtId="3" fontId="3" fillId="0" borderId="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/>
    <xf numFmtId="4" fontId="3" fillId="0" borderId="0" xfId="0" applyNumberFormat="1" applyFont="1" applyFill="1"/>
    <xf numFmtId="3" fontId="7" fillId="0" borderId="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3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3" xfId="0" applyFont="1" applyFill="1" applyBorder="1"/>
    <xf numFmtId="4" fontId="3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2">
    <cellStyle name="Normalny" xfId="0" builtinId="0"/>
    <cellStyle name="Normalny__Załącznik nr 3 2007 10 zmieniona wfos na 10la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workbookViewId="0">
      <pane xSplit="1" ySplit="7" topLeftCell="C24" activePane="bottomRight" state="frozen"/>
      <selection pane="topRight" activeCell="B1" sqref="B1"/>
      <selection pane="bottomLeft" activeCell="A8" sqref="A8"/>
      <selection pane="bottomRight" activeCell="E1" sqref="E1:J1"/>
    </sheetView>
  </sheetViews>
  <sheetFormatPr defaultRowHeight="22.5" x14ac:dyDescent="0.3"/>
  <cols>
    <col min="1" max="1" width="84.85546875" style="1" customWidth="1"/>
    <col min="2" max="2" width="24.28515625" style="2" hidden="1" customWidth="1"/>
    <col min="3" max="3" width="21.85546875" style="2" hidden="1" customWidth="1"/>
    <col min="4" max="4" width="22.42578125" style="2" customWidth="1"/>
    <col min="5" max="5" width="19.140625" style="2" customWidth="1"/>
    <col min="6" max="6" width="24.7109375" style="2" customWidth="1"/>
    <col min="7" max="22" width="21.140625" style="2" customWidth="1"/>
    <col min="23" max="23" width="9.140625" style="2"/>
    <col min="24" max="24" width="12.7109375" style="2" bestFit="1" customWidth="1"/>
    <col min="25" max="16384" width="9.140625" style="2"/>
  </cols>
  <sheetData>
    <row r="1" spans="1:22" ht="21" customHeight="1" x14ac:dyDescent="0.35">
      <c r="E1" s="98" t="s">
        <v>95</v>
      </c>
      <c r="F1" s="98"/>
      <c r="G1" s="98"/>
      <c r="H1" s="98"/>
      <c r="I1" s="98"/>
      <c r="J1" s="98"/>
      <c r="K1" s="3"/>
      <c r="L1" s="3"/>
      <c r="N1" s="4"/>
      <c r="O1" s="4"/>
      <c r="P1" s="4"/>
      <c r="Q1" s="4"/>
      <c r="R1" s="4"/>
      <c r="S1" s="3"/>
      <c r="T1" s="3"/>
      <c r="U1" s="3" t="s">
        <v>80</v>
      </c>
      <c r="V1" s="3"/>
    </row>
    <row r="2" spans="1:22" s="6" customFormat="1" ht="9" customHeight="1" x14ac:dyDescent="0.3">
      <c r="A2" s="5"/>
      <c r="G2" s="7"/>
      <c r="H2" s="7"/>
      <c r="I2" s="7"/>
      <c r="J2" s="7"/>
      <c r="K2" s="7"/>
      <c r="L2" s="8">
        <f>L25-L36</f>
        <v>0</v>
      </c>
      <c r="M2" s="8">
        <f t="shared" ref="M2:V2" si="0">M25-M36</f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Q2" s="8">
        <f t="shared" si="0"/>
        <v>0</v>
      </c>
      <c r="R2" s="8">
        <f t="shared" si="0"/>
        <v>0</v>
      </c>
      <c r="S2" s="8">
        <f t="shared" si="0"/>
        <v>0</v>
      </c>
      <c r="T2" s="8">
        <f t="shared" si="0"/>
        <v>0</v>
      </c>
      <c r="U2" s="8">
        <f t="shared" si="0"/>
        <v>0</v>
      </c>
      <c r="V2" s="8">
        <f t="shared" si="0"/>
        <v>0</v>
      </c>
    </row>
    <row r="3" spans="1:22" ht="36.75" customHeight="1" x14ac:dyDescent="0.3">
      <c r="A3" s="97" t="s">
        <v>94</v>
      </c>
      <c r="B3" s="97"/>
      <c r="C3" s="97"/>
      <c r="D3" s="3"/>
      <c r="E3" s="3"/>
      <c r="F3" s="3"/>
      <c r="G3" s="3"/>
      <c r="H3" s="3"/>
      <c r="I3" s="3"/>
      <c r="J3" s="3"/>
    </row>
    <row r="4" spans="1:22" ht="13.5" customHeight="1" x14ac:dyDescent="0.3">
      <c r="G4" s="89"/>
      <c r="S4" s="9"/>
      <c r="U4" s="9"/>
    </row>
    <row r="5" spans="1:22" ht="3.75" customHeight="1" x14ac:dyDescent="0.35">
      <c r="T5" s="10"/>
      <c r="V5" s="10"/>
    </row>
    <row r="6" spans="1:22" ht="43.5" customHeight="1" x14ac:dyDescent="0.3">
      <c r="A6" s="11" t="s">
        <v>0</v>
      </c>
      <c r="B6" s="12" t="s">
        <v>82</v>
      </c>
      <c r="C6" s="12" t="s">
        <v>64</v>
      </c>
      <c r="D6" s="12" t="s">
        <v>76</v>
      </c>
      <c r="E6" s="12" t="s">
        <v>93</v>
      </c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ht="84.75" customHeight="1" x14ac:dyDescent="0.3">
      <c r="A7" s="13"/>
      <c r="B7" s="14"/>
      <c r="C7" s="14"/>
      <c r="D7" s="14"/>
      <c r="E7" s="15"/>
      <c r="F7" s="91">
        <v>2011</v>
      </c>
      <c r="G7" s="16">
        <v>2012</v>
      </c>
      <c r="H7" s="16">
        <v>2013</v>
      </c>
      <c r="I7" s="16">
        <v>2014</v>
      </c>
      <c r="J7" s="16">
        <v>2015</v>
      </c>
      <c r="K7" s="16">
        <v>2016</v>
      </c>
      <c r="L7" s="16">
        <v>2017</v>
      </c>
      <c r="M7" s="16">
        <v>2018</v>
      </c>
      <c r="N7" s="16">
        <v>2019</v>
      </c>
      <c r="O7" s="16">
        <v>2020</v>
      </c>
      <c r="P7" s="16">
        <v>2021</v>
      </c>
      <c r="Q7" s="16">
        <v>2022</v>
      </c>
      <c r="R7" s="16">
        <v>2023</v>
      </c>
      <c r="S7" s="16">
        <v>2024</v>
      </c>
      <c r="T7" s="16">
        <v>2025</v>
      </c>
      <c r="U7" s="16">
        <v>2026</v>
      </c>
      <c r="V7" s="16">
        <v>2027</v>
      </c>
    </row>
    <row r="8" spans="1:22" ht="32.25" customHeight="1" x14ac:dyDescent="0.3">
      <c r="A8" s="13" t="s">
        <v>92</v>
      </c>
      <c r="B8" s="17">
        <f>B9+B10+B11+B12</f>
        <v>32295092</v>
      </c>
      <c r="C8" s="17">
        <f>C9+C10+C11+C12</f>
        <v>27869242</v>
      </c>
      <c r="D8" s="17">
        <f>D9+D10+D11+D12</f>
        <v>29616164.800000001</v>
      </c>
      <c r="E8" s="17">
        <v>32107349</v>
      </c>
      <c r="F8" s="17">
        <f>34104505+15600+61319+187920-51000+117364+37000+100000-150000-27000</f>
        <v>34395708</v>
      </c>
      <c r="G8" s="17">
        <v>34524899</v>
      </c>
      <c r="H8" s="17">
        <v>36596000</v>
      </c>
      <c r="I8" s="17">
        <f>38790000-700000</f>
        <v>38090000</v>
      </c>
      <c r="J8" s="17">
        <v>39232000</v>
      </c>
      <c r="K8" s="17">
        <v>40016000</v>
      </c>
      <c r="L8" s="17">
        <v>40816000</v>
      </c>
      <c r="M8" s="17">
        <v>41633000</v>
      </c>
      <c r="N8" s="17">
        <v>42470000</v>
      </c>
      <c r="O8" s="17">
        <v>43315000</v>
      </c>
      <c r="P8" s="17">
        <v>44180000</v>
      </c>
      <c r="Q8" s="17">
        <v>45065000</v>
      </c>
      <c r="R8" s="17">
        <v>45970000</v>
      </c>
      <c r="S8" s="17">
        <v>46900000</v>
      </c>
      <c r="T8" s="17">
        <v>47823000</v>
      </c>
      <c r="U8" s="17">
        <v>48780000</v>
      </c>
      <c r="V8" s="17">
        <v>49750000</v>
      </c>
    </row>
    <row r="9" spans="1:22" s="20" customFormat="1" ht="46.5" hidden="1" x14ac:dyDescent="0.3">
      <c r="A9" s="18" t="s">
        <v>62</v>
      </c>
      <c r="B9" s="19">
        <v>9801248</v>
      </c>
      <c r="C9" s="19">
        <v>11097347</v>
      </c>
      <c r="D9" s="19">
        <v>10882609</v>
      </c>
      <c r="E9" s="19">
        <v>11121059</v>
      </c>
      <c r="F9" s="19">
        <v>14482747</v>
      </c>
      <c r="G9" s="19">
        <v>12500000</v>
      </c>
      <c r="H9" s="19">
        <v>12800000</v>
      </c>
      <c r="I9" s="19">
        <v>12850000</v>
      </c>
      <c r="J9" s="19">
        <v>13500000</v>
      </c>
      <c r="K9" s="19">
        <f>ROUND((J9*104.5%),0)</f>
        <v>14107500</v>
      </c>
      <c r="L9" s="19">
        <f t="shared" ref="L9:V9" si="1">ROUND((K9*104.5%),0)</f>
        <v>14742338</v>
      </c>
      <c r="M9" s="19">
        <f t="shared" si="1"/>
        <v>15405743</v>
      </c>
      <c r="N9" s="19">
        <f t="shared" si="1"/>
        <v>16099001</v>
      </c>
      <c r="O9" s="19">
        <f t="shared" si="1"/>
        <v>16823456</v>
      </c>
      <c r="P9" s="19">
        <f t="shared" si="1"/>
        <v>17580512</v>
      </c>
      <c r="Q9" s="19">
        <f t="shared" si="1"/>
        <v>18371635</v>
      </c>
      <c r="R9" s="19">
        <f t="shared" si="1"/>
        <v>19198359</v>
      </c>
      <c r="S9" s="19">
        <f t="shared" si="1"/>
        <v>20062285</v>
      </c>
      <c r="T9" s="19">
        <f t="shared" si="1"/>
        <v>20965088</v>
      </c>
      <c r="U9" s="19">
        <f t="shared" si="1"/>
        <v>21908517</v>
      </c>
      <c r="V9" s="19">
        <f t="shared" si="1"/>
        <v>22894400</v>
      </c>
    </row>
    <row r="10" spans="1:22" s="20" customFormat="1" ht="23.25" hidden="1" x14ac:dyDescent="0.3">
      <c r="A10" s="21" t="s">
        <v>54</v>
      </c>
      <c r="B10" s="19">
        <v>11162312</v>
      </c>
      <c r="C10" s="19">
        <v>12633948</v>
      </c>
      <c r="D10" s="19">
        <v>14610807</v>
      </c>
      <c r="E10" s="19">
        <v>14851210</v>
      </c>
      <c r="F10" s="19">
        <v>15447434</v>
      </c>
      <c r="G10" s="19">
        <v>16063068</v>
      </c>
      <c r="H10" s="19">
        <v>16705591</v>
      </c>
      <c r="I10" s="19">
        <v>17373815</v>
      </c>
      <c r="J10" s="19">
        <v>18068767</v>
      </c>
      <c r="K10" s="19">
        <f>ROUND((J10*104%),0)</f>
        <v>18791518</v>
      </c>
      <c r="L10" s="19">
        <f t="shared" ref="L10:V10" si="2">ROUND((K10*104%),0)</f>
        <v>19543179</v>
      </c>
      <c r="M10" s="19">
        <f t="shared" si="2"/>
        <v>20324906</v>
      </c>
      <c r="N10" s="19">
        <f t="shared" si="2"/>
        <v>21137902</v>
      </c>
      <c r="O10" s="19">
        <f t="shared" si="2"/>
        <v>21983418</v>
      </c>
      <c r="P10" s="19">
        <f t="shared" si="2"/>
        <v>22862755</v>
      </c>
      <c r="Q10" s="19">
        <f t="shared" si="2"/>
        <v>23777265</v>
      </c>
      <c r="R10" s="19">
        <f t="shared" si="2"/>
        <v>24728356</v>
      </c>
      <c r="S10" s="19">
        <f t="shared" si="2"/>
        <v>25717490</v>
      </c>
      <c r="T10" s="19">
        <f t="shared" si="2"/>
        <v>26746190</v>
      </c>
      <c r="U10" s="19">
        <f t="shared" si="2"/>
        <v>27816038</v>
      </c>
      <c r="V10" s="19">
        <f t="shared" si="2"/>
        <v>28928680</v>
      </c>
    </row>
    <row r="11" spans="1:22" s="20" customFormat="1" ht="23.25" hidden="1" x14ac:dyDescent="0.3">
      <c r="A11" s="21" t="s">
        <v>55</v>
      </c>
      <c r="B11" s="19">
        <v>11331532</v>
      </c>
      <c r="C11" s="19">
        <v>4080155</v>
      </c>
      <c r="D11" s="19">
        <v>3939743</v>
      </c>
      <c r="E11" s="19">
        <v>5201973</v>
      </c>
      <c r="F11" s="19">
        <v>3863122</v>
      </c>
      <c r="G11" s="19">
        <v>4051544</v>
      </c>
      <c r="H11" s="19">
        <v>4173090</v>
      </c>
      <c r="I11" s="19">
        <v>4298283</v>
      </c>
      <c r="J11" s="19">
        <v>4427231</v>
      </c>
      <c r="K11" s="19">
        <f>ROUND((J11*103%),0)</f>
        <v>4560048</v>
      </c>
      <c r="L11" s="19">
        <f t="shared" ref="L11:V11" si="3">ROUND((K11*103%),0)</f>
        <v>4696849</v>
      </c>
      <c r="M11" s="19">
        <f t="shared" si="3"/>
        <v>4837754</v>
      </c>
      <c r="N11" s="19">
        <f t="shared" si="3"/>
        <v>4982887</v>
      </c>
      <c r="O11" s="19">
        <f t="shared" si="3"/>
        <v>5132374</v>
      </c>
      <c r="P11" s="19">
        <f t="shared" si="3"/>
        <v>5286345</v>
      </c>
      <c r="Q11" s="19">
        <f t="shared" si="3"/>
        <v>5444935</v>
      </c>
      <c r="R11" s="19">
        <f t="shared" si="3"/>
        <v>5608283</v>
      </c>
      <c r="S11" s="19">
        <f t="shared" si="3"/>
        <v>5776531</v>
      </c>
      <c r="T11" s="19">
        <f t="shared" si="3"/>
        <v>5949827</v>
      </c>
      <c r="U11" s="19">
        <f t="shared" si="3"/>
        <v>6128322</v>
      </c>
      <c r="V11" s="19">
        <f t="shared" si="3"/>
        <v>6312172</v>
      </c>
    </row>
    <row r="12" spans="1:22" s="20" customFormat="1" ht="23.25" hidden="1" x14ac:dyDescent="0.3">
      <c r="A12" s="22" t="s">
        <v>57</v>
      </c>
      <c r="B12" s="23"/>
      <c r="C12" s="23">
        <v>57792</v>
      </c>
      <c r="D12" s="23">
        <v>183005.8</v>
      </c>
      <c r="E12" s="23">
        <v>356349</v>
      </c>
      <c r="F12" s="23">
        <v>283560</v>
      </c>
      <c r="G12" s="23"/>
      <c r="H12" s="23"/>
      <c r="I12" s="23">
        <v>0</v>
      </c>
      <c r="J12" s="23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1" customFormat="1" ht="24.75" customHeight="1" x14ac:dyDescent="0.3">
      <c r="A13" s="24" t="s">
        <v>56</v>
      </c>
      <c r="B13" s="25">
        <f>B14+B16+B17</f>
        <v>1665944</v>
      </c>
      <c r="C13" s="25">
        <f>C14+C16+C17</f>
        <v>489500</v>
      </c>
      <c r="D13" s="25">
        <f>D14+D16+D17</f>
        <v>1623930</v>
      </c>
      <c r="E13" s="25">
        <v>3835978</v>
      </c>
      <c r="F13" s="25">
        <f>7058095-24235-227774</f>
        <v>6806086</v>
      </c>
      <c r="G13" s="25">
        <v>2230468</v>
      </c>
      <c r="H13" s="25">
        <f>2366000+600000</f>
        <v>2966000</v>
      </c>
      <c r="I13" s="25">
        <f>1615000+600000</f>
        <v>2215000</v>
      </c>
      <c r="J13" s="25">
        <f t="shared" ref="J13:T13" si="4">J14+J16</f>
        <v>100000</v>
      </c>
      <c r="K13" s="25">
        <f t="shared" si="4"/>
        <v>100000</v>
      </c>
      <c r="L13" s="25">
        <f t="shared" si="4"/>
        <v>100000</v>
      </c>
      <c r="M13" s="25">
        <f t="shared" si="4"/>
        <v>100000</v>
      </c>
      <c r="N13" s="25">
        <f t="shared" si="4"/>
        <v>100000</v>
      </c>
      <c r="O13" s="25">
        <f t="shared" si="4"/>
        <v>100000</v>
      </c>
      <c r="P13" s="25">
        <f t="shared" si="4"/>
        <v>100000</v>
      </c>
      <c r="Q13" s="25">
        <f t="shared" si="4"/>
        <v>100000</v>
      </c>
      <c r="R13" s="25">
        <f t="shared" si="4"/>
        <v>100000</v>
      </c>
      <c r="S13" s="25">
        <f t="shared" si="4"/>
        <v>100000</v>
      </c>
      <c r="T13" s="25">
        <f t="shared" si="4"/>
        <v>100000</v>
      </c>
      <c r="U13" s="25">
        <f>U14+U16</f>
        <v>100000</v>
      </c>
      <c r="V13" s="25">
        <f>V14+V16</f>
        <v>100000</v>
      </c>
    </row>
    <row r="14" spans="1:22" s="20" customFormat="1" ht="23.25" x14ac:dyDescent="0.3">
      <c r="A14" s="22" t="s">
        <v>58</v>
      </c>
      <c r="B14" s="23">
        <v>61514</v>
      </c>
      <c r="C14" s="23">
        <v>154909</v>
      </c>
      <c r="D14" s="23">
        <v>57831</v>
      </c>
      <c r="E14" s="23">
        <v>97743</v>
      </c>
      <c r="F14" s="23">
        <v>50000</v>
      </c>
      <c r="G14" s="23">
        <v>50000</v>
      </c>
      <c r="H14" s="23">
        <v>600000</v>
      </c>
      <c r="I14" s="23">
        <v>600000</v>
      </c>
      <c r="J14" s="23">
        <v>100000</v>
      </c>
      <c r="K14" s="23">
        <f>J14</f>
        <v>100000</v>
      </c>
      <c r="L14" s="23">
        <f t="shared" ref="L14:V14" si="5">K14</f>
        <v>100000</v>
      </c>
      <c r="M14" s="23">
        <f t="shared" si="5"/>
        <v>100000</v>
      </c>
      <c r="N14" s="23">
        <f t="shared" si="5"/>
        <v>100000</v>
      </c>
      <c r="O14" s="23">
        <f t="shared" si="5"/>
        <v>100000</v>
      </c>
      <c r="P14" s="23">
        <f t="shared" si="5"/>
        <v>100000</v>
      </c>
      <c r="Q14" s="23">
        <f t="shared" si="5"/>
        <v>100000</v>
      </c>
      <c r="R14" s="23">
        <f t="shared" si="5"/>
        <v>100000</v>
      </c>
      <c r="S14" s="23">
        <f t="shared" si="5"/>
        <v>100000</v>
      </c>
      <c r="T14" s="23">
        <f t="shared" si="5"/>
        <v>100000</v>
      </c>
      <c r="U14" s="23">
        <f t="shared" si="5"/>
        <v>100000</v>
      </c>
      <c r="V14" s="23">
        <f t="shared" si="5"/>
        <v>100000</v>
      </c>
    </row>
    <row r="15" spans="1:22" s="20" customFormat="1" ht="23.25" hidden="1" x14ac:dyDescent="0.3">
      <c r="A15" s="22" t="s">
        <v>81</v>
      </c>
      <c r="B15" s="23">
        <v>0</v>
      </c>
      <c r="C15" s="23">
        <v>154909.04999999999</v>
      </c>
      <c r="D15" s="23">
        <v>57831.360000000001</v>
      </c>
      <c r="E15" s="23">
        <v>80000</v>
      </c>
      <c r="F15" s="23">
        <v>50000</v>
      </c>
      <c r="G15" s="23">
        <v>100000</v>
      </c>
      <c r="H15" s="23">
        <v>100000</v>
      </c>
      <c r="I15" s="23">
        <v>100000</v>
      </c>
      <c r="J15" s="23">
        <v>100000</v>
      </c>
      <c r="K15" s="23">
        <f>J15</f>
        <v>100000</v>
      </c>
      <c r="L15" s="23">
        <f t="shared" ref="L15:V15" si="6">K15</f>
        <v>100000</v>
      </c>
      <c r="M15" s="23">
        <f t="shared" si="6"/>
        <v>100000</v>
      </c>
      <c r="N15" s="23">
        <f t="shared" si="6"/>
        <v>100000</v>
      </c>
      <c r="O15" s="23">
        <f t="shared" si="6"/>
        <v>100000</v>
      </c>
      <c r="P15" s="23">
        <f t="shared" si="6"/>
        <v>100000</v>
      </c>
      <c r="Q15" s="23">
        <f t="shared" si="6"/>
        <v>100000</v>
      </c>
      <c r="R15" s="23">
        <f t="shared" si="6"/>
        <v>100000</v>
      </c>
      <c r="S15" s="23">
        <f t="shared" si="6"/>
        <v>100000</v>
      </c>
      <c r="T15" s="23">
        <f t="shared" si="6"/>
        <v>100000</v>
      </c>
      <c r="U15" s="23">
        <f t="shared" si="6"/>
        <v>100000</v>
      </c>
      <c r="V15" s="23">
        <f t="shared" si="6"/>
        <v>100000</v>
      </c>
    </row>
    <row r="16" spans="1:22" s="26" customFormat="1" ht="23.25" hidden="1" x14ac:dyDescent="0.35">
      <c r="A16" s="22" t="s">
        <v>59</v>
      </c>
      <c r="B16" s="23">
        <v>863748</v>
      </c>
      <c r="C16" s="23">
        <v>334591</v>
      </c>
      <c r="D16" s="23">
        <v>1549821</v>
      </c>
      <c r="E16" s="23">
        <v>2021188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0" customFormat="1" ht="23.25" hidden="1" x14ac:dyDescent="0.3">
      <c r="A17" s="21" t="s">
        <v>60</v>
      </c>
      <c r="B17" s="19">
        <v>740682</v>
      </c>
      <c r="C17" s="19"/>
      <c r="D17" s="19">
        <v>16278</v>
      </c>
      <c r="E17" s="19">
        <v>4192998</v>
      </c>
      <c r="F17" s="27">
        <v>6071643</v>
      </c>
      <c r="G17" s="27">
        <v>2550000</v>
      </c>
      <c r="H17" s="27">
        <f>850000</f>
        <v>850000</v>
      </c>
      <c r="I17" s="27"/>
      <c r="J17" s="27" t="s">
        <v>42</v>
      </c>
      <c r="K17" s="27" t="s">
        <v>42</v>
      </c>
      <c r="L17" s="27" t="s">
        <v>42</v>
      </c>
      <c r="M17" s="27" t="s">
        <v>42</v>
      </c>
      <c r="N17" s="27" t="s">
        <v>42</v>
      </c>
      <c r="O17" s="27" t="s">
        <v>42</v>
      </c>
      <c r="P17" s="27" t="s">
        <v>42</v>
      </c>
      <c r="Q17" s="27" t="s">
        <v>42</v>
      </c>
      <c r="R17" s="27" t="s">
        <v>42</v>
      </c>
      <c r="S17" s="27" t="s">
        <v>42</v>
      </c>
      <c r="T17" s="27" t="s">
        <v>42</v>
      </c>
      <c r="U17" s="27" t="s">
        <v>42</v>
      </c>
      <c r="V17" s="27" t="s">
        <v>42</v>
      </c>
    </row>
    <row r="18" spans="1:22" ht="23.25" thickBot="1" x14ac:dyDescent="0.35">
      <c r="A18" s="28" t="s">
        <v>61</v>
      </c>
      <c r="B18" s="29">
        <f t="shared" ref="B18:G18" si="7">B8+B13</f>
        <v>33961036</v>
      </c>
      <c r="C18" s="29">
        <f t="shared" si="7"/>
        <v>28358742</v>
      </c>
      <c r="D18" s="29">
        <f t="shared" si="7"/>
        <v>31240094.800000001</v>
      </c>
      <c r="E18" s="29">
        <f t="shared" si="7"/>
        <v>35943327</v>
      </c>
      <c r="F18" s="29">
        <f t="shared" si="7"/>
        <v>41201794</v>
      </c>
      <c r="G18" s="29">
        <f t="shared" si="7"/>
        <v>36755367</v>
      </c>
      <c r="H18" s="29">
        <f t="shared" ref="H18:T18" si="8">H8+H13</f>
        <v>39562000</v>
      </c>
      <c r="I18" s="29">
        <f t="shared" si="8"/>
        <v>40305000</v>
      </c>
      <c r="J18" s="29">
        <f t="shared" si="8"/>
        <v>39332000</v>
      </c>
      <c r="K18" s="29">
        <f t="shared" si="8"/>
        <v>40116000</v>
      </c>
      <c r="L18" s="29">
        <f t="shared" si="8"/>
        <v>40916000</v>
      </c>
      <c r="M18" s="29">
        <f t="shared" si="8"/>
        <v>41733000</v>
      </c>
      <c r="N18" s="29">
        <f t="shared" si="8"/>
        <v>42570000</v>
      </c>
      <c r="O18" s="29">
        <f t="shared" si="8"/>
        <v>43415000</v>
      </c>
      <c r="P18" s="29">
        <f t="shared" si="8"/>
        <v>44280000</v>
      </c>
      <c r="Q18" s="29">
        <f t="shared" si="8"/>
        <v>45165000</v>
      </c>
      <c r="R18" s="29">
        <f t="shared" si="8"/>
        <v>46070000</v>
      </c>
      <c r="S18" s="29">
        <f t="shared" si="8"/>
        <v>47000000</v>
      </c>
      <c r="T18" s="29">
        <f t="shared" si="8"/>
        <v>47923000</v>
      </c>
      <c r="U18" s="29">
        <f>U8+U13</f>
        <v>48880000</v>
      </c>
      <c r="V18" s="29">
        <f>V8+V13</f>
        <v>49850000</v>
      </c>
    </row>
    <row r="19" spans="1:22" s="20" customFormat="1" x14ac:dyDescent="0.3">
      <c r="A19" s="30" t="s">
        <v>5</v>
      </c>
      <c r="B19" s="31">
        <v>28022533</v>
      </c>
      <c r="C19" s="31">
        <v>23032283</v>
      </c>
      <c r="D19" s="31">
        <v>25226883.379999999</v>
      </c>
      <c r="E19" s="31">
        <v>30126147</v>
      </c>
      <c r="F19" s="31">
        <f>31923622+117364+3000+20000+20000+37000+30320-50000-220000</f>
        <v>31881306</v>
      </c>
      <c r="G19" s="31">
        <v>33494126</v>
      </c>
      <c r="H19" s="31">
        <f>32500000+13600+54400</f>
        <v>32568000</v>
      </c>
      <c r="I19" s="31">
        <f>31500000+54400</f>
        <v>31554400</v>
      </c>
      <c r="J19" s="31">
        <f>31500000+54400</f>
        <v>31554400</v>
      </c>
      <c r="K19" s="31">
        <f>32445000+108800</f>
        <v>32553800</v>
      </c>
      <c r="L19" s="31">
        <f>33418000+255240</f>
        <v>33673240</v>
      </c>
      <c r="M19" s="31">
        <v>34420000</v>
      </c>
      <c r="N19" s="31">
        <v>35450000</v>
      </c>
      <c r="O19" s="31">
        <v>36517100</v>
      </c>
      <c r="P19" s="31">
        <v>37600000</v>
      </c>
      <c r="Q19" s="31">
        <v>38740000</v>
      </c>
      <c r="R19" s="31">
        <v>39903000</v>
      </c>
      <c r="S19" s="31">
        <v>41100000</v>
      </c>
      <c r="T19" s="31">
        <v>42300000</v>
      </c>
      <c r="U19" s="31">
        <v>43600000</v>
      </c>
      <c r="V19" s="31">
        <v>44900000</v>
      </c>
    </row>
    <row r="20" spans="1:22" s="20" customFormat="1" ht="49.5" x14ac:dyDescent="0.3">
      <c r="A20" s="32" t="s">
        <v>86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20" customFormat="1" ht="27" x14ac:dyDescent="0.3">
      <c r="A21" s="34" t="s">
        <v>87</v>
      </c>
      <c r="B21" s="35">
        <v>148931</v>
      </c>
      <c r="C21" s="35">
        <v>277715</v>
      </c>
      <c r="D21" s="35">
        <v>235481.9</v>
      </c>
      <c r="E21" s="35">
        <v>204524</v>
      </c>
      <c r="F21" s="35">
        <v>600000</v>
      </c>
      <c r="G21" s="35">
        <v>750000</v>
      </c>
      <c r="H21" s="35">
        <v>600000</v>
      </c>
      <c r="I21" s="35">
        <v>580000</v>
      </c>
      <c r="J21" s="35">
        <v>550000</v>
      </c>
      <c r="K21" s="35">
        <f>Harmonogram!P17</f>
        <v>222500</v>
      </c>
      <c r="L21" s="35">
        <f>Harmonogram!R17</f>
        <v>185500</v>
      </c>
      <c r="M21" s="35">
        <f>Harmonogram!T17</f>
        <v>140500</v>
      </c>
      <c r="N21" s="35">
        <f>Harmonogram!V17</f>
        <v>93500</v>
      </c>
      <c r="O21" s="35">
        <f>Harmonogram!AJ17</f>
        <v>55500</v>
      </c>
      <c r="P21" s="35">
        <f>Harmonogram!AL17</f>
        <v>27500</v>
      </c>
      <c r="Q21" s="35">
        <f>Harmonogram!AN17</f>
        <v>14500</v>
      </c>
      <c r="R21" s="35">
        <f>Harmonogram!AP17</f>
        <v>11500</v>
      </c>
      <c r="S21" s="35">
        <f>Harmonogram!AR17</f>
        <v>8500</v>
      </c>
      <c r="T21" s="35">
        <f>Harmonogram!AT17</f>
        <v>5500</v>
      </c>
      <c r="U21" s="35">
        <f>Harmonogram!AV17</f>
        <v>2500</v>
      </c>
      <c r="V21" s="35">
        <f>Harmonogram!AX17</f>
        <v>500</v>
      </c>
    </row>
    <row r="22" spans="1:22" s="20" customFormat="1" ht="45" x14ac:dyDescent="0.3">
      <c r="A22" s="30" t="s">
        <v>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20" customFormat="1" ht="23.25" thickBot="1" x14ac:dyDescent="0.35">
      <c r="A23" s="24" t="s">
        <v>45</v>
      </c>
      <c r="B23" s="36">
        <v>6960003</v>
      </c>
      <c r="C23" s="36">
        <v>6298781</v>
      </c>
      <c r="D23" s="36">
        <v>5753284.7599999998</v>
      </c>
      <c r="E23" s="36">
        <v>14491192</v>
      </c>
      <c r="F23" s="36">
        <f>11118134+8000-118469-9700-54000-550000</f>
        <v>10393965</v>
      </c>
      <c r="G23" s="36">
        <v>5446212</v>
      </c>
      <c r="H23" s="36">
        <f>3986000+847504</f>
        <v>4833504</v>
      </c>
      <c r="I23" s="36">
        <f>4674680+585400+1500000</f>
        <v>6760080</v>
      </c>
      <c r="J23" s="36">
        <f>2640218+400000-351000-71069-71069-250000-200000+1000000+1285356+384644</f>
        <v>4767080</v>
      </c>
      <c r="K23" s="36">
        <f>5150458-90000-400000-180000-15405+742622</f>
        <v>5207675</v>
      </c>
      <c r="L23" s="36">
        <f>4961880-380000-180000-100000-1002698+2188200</f>
        <v>5487382</v>
      </c>
      <c r="M23" s="36">
        <f>4858960-380000-290000-1000000+2116120</f>
        <v>5305080</v>
      </c>
      <c r="N23" s="36">
        <f>5017080-380000-73000+1745000</f>
        <v>6309080</v>
      </c>
      <c r="O23" s="36">
        <f>5200080+110000+1289900</f>
        <v>6599980</v>
      </c>
      <c r="P23" s="36">
        <f>5290080-206330+360000+928000</f>
        <v>6371750</v>
      </c>
      <c r="Q23" s="36">
        <f>5710180+512900</f>
        <v>6223080</v>
      </c>
      <c r="R23" s="36">
        <f>5985680+79400</f>
        <v>6065080</v>
      </c>
      <c r="S23" s="36">
        <f>6165380-367300</f>
        <v>5798080</v>
      </c>
      <c r="T23" s="36">
        <f>6278080-757000</f>
        <v>5521080</v>
      </c>
      <c r="U23" s="36">
        <f>6553080-1375000</f>
        <v>5178080</v>
      </c>
      <c r="V23" s="36">
        <f>6794826-1921266</f>
        <v>4873560</v>
      </c>
    </row>
    <row r="24" spans="1:22" ht="23.25" thickBot="1" x14ac:dyDescent="0.35">
      <c r="A24" s="37" t="s">
        <v>8</v>
      </c>
      <c r="B24" s="38">
        <f t="shared" ref="B24:T24" si="9">B19+B23</f>
        <v>34982536</v>
      </c>
      <c r="C24" s="38">
        <f>C19+C23</f>
        <v>29331064</v>
      </c>
      <c r="D24" s="38">
        <f>D19+D23</f>
        <v>30980168.140000001</v>
      </c>
      <c r="E24" s="38">
        <f t="shared" si="9"/>
        <v>44617339</v>
      </c>
      <c r="F24" s="38">
        <f t="shared" si="9"/>
        <v>42275271</v>
      </c>
      <c r="G24" s="38">
        <f t="shared" si="9"/>
        <v>38940338</v>
      </c>
      <c r="H24" s="38">
        <f t="shared" si="9"/>
        <v>37401504</v>
      </c>
      <c r="I24" s="38">
        <f t="shared" si="9"/>
        <v>38314480</v>
      </c>
      <c r="J24" s="38">
        <f t="shared" si="9"/>
        <v>36321480</v>
      </c>
      <c r="K24" s="38">
        <f>K19+K23</f>
        <v>37761475</v>
      </c>
      <c r="L24" s="38">
        <f>L19+L23</f>
        <v>39160622</v>
      </c>
      <c r="M24" s="38">
        <f t="shared" si="9"/>
        <v>39725080</v>
      </c>
      <c r="N24" s="38">
        <f t="shared" si="9"/>
        <v>41759080</v>
      </c>
      <c r="O24" s="38">
        <f>O19+O23</f>
        <v>43117080</v>
      </c>
      <c r="P24" s="38">
        <f>P19+P23</f>
        <v>43971750</v>
      </c>
      <c r="Q24" s="38">
        <f>Q19+Q23</f>
        <v>44963080</v>
      </c>
      <c r="R24" s="38">
        <f>R19+R23</f>
        <v>45968080</v>
      </c>
      <c r="S24" s="38">
        <f t="shared" si="9"/>
        <v>46898080</v>
      </c>
      <c r="T24" s="38">
        <f t="shared" si="9"/>
        <v>47821080</v>
      </c>
      <c r="U24" s="38">
        <f>U19+U23</f>
        <v>48778080</v>
      </c>
      <c r="V24" s="38">
        <f>V19+V23</f>
        <v>49773560</v>
      </c>
    </row>
    <row r="25" spans="1:22" ht="23.25" thickBot="1" x14ac:dyDescent="0.35">
      <c r="A25" s="39" t="s">
        <v>9</v>
      </c>
      <c r="B25" s="40">
        <f>B18-B24</f>
        <v>-1021500</v>
      </c>
      <c r="C25" s="40">
        <f>C18-C24</f>
        <v>-972322</v>
      </c>
      <c r="D25" s="40">
        <f>D18-D24</f>
        <v>259926.66000000015</v>
      </c>
      <c r="E25" s="40">
        <f t="shared" ref="E25:T25" si="10">E18-E24</f>
        <v>-8674012</v>
      </c>
      <c r="F25" s="93">
        <f t="shared" si="10"/>
        <v>-1073477</v>
      </c>
      <c r="G25" s="40">
        <f t="shared" si="10"/>
        <v>-2184971</v>
      </c>
      <c r="H25" s="40">
        <f t="shared" si="10"/>
        <v>2160496</v>
      </c>
      <c r="I25" s="40">
        <f t="shared" si="10"/>
        <v>1990520</v>
      </c>
      <c r="J25" s="40">
        <f>J18-J24</f>
        <v>3010520</v>
      </c>
      <c r="K25" s="40">
        <f>K18-K24</f>
        <v>2354525</v>
      </c>
      <c r="L25" s="40">
        <f>L18-L24</f>
        <v>1755378</v>
      </c>
      <c r="M25" s="40">
        <f t="shared" si="10"/>
        <v>2007920</v>
      </c>
      <c r="N25" s="40">
        <f t="shared" si="10"/>
        <v>810920</v>
      </c>
      <c r="O25" s="40">
        <f>O18-O24</f>
        <v>297920</v>
      </c>
      <c r="P25" s="40">
        <f>P18-P24</f>
        <v>308250</v>
      </c>
      <c r="Q25" s="40">
        <f>Q18-Q24</f>
        <v>201920</v>
      </c>
      <c r="R25" s="40">
        <f>R18-R24</f>
        <v>101920</v>
      </c>
      <c r="S25" s="40">
        <f t="shared" si="10"/>
        <v>101920</v>
      </c>
      <c r="T25" s="40">
        <f t="shared" si="10"/>
        <v>101920</v>
      </c>
      <c r="U25" s="40">
        <f>U18-U24</f>
        <v>101920</v>
      </c>
      <c r="V25" s="40">
        <f>V18-V24</f>
        <v>76440</v>
      </c>
    </row>
    <row r="26" spans="1:22" ht="23.25" thickBot="1" x14ac:dyDescent="0.35">
      <c r="A26" s="37" t="s">
        <v>10</v>
      </c>
      <c r="B26" s="38">
        <f>B27+B28+B29+B31+B32+B33+B34</f>
        <v>3436641</v>
      </c>
      <c r="C26" s="38">
        <f>C27+C28+C29+C31+C32+C33+C34</f>
        <v>3991161</v>
      </c>
      <c r="D26" s="38">
        <f>D27+D28+D29+D31+D32+D33+D34</f>
        <v>3857020.98</v>
      </c>
      <c r="E26" s="38">
        <f>E27+E28+E29+E30+E31+E32+E33+E34</f>
        <v>12996872</v>
      </c>
      <c r="F26" s="38">
        <f>F27+F28+F29+F30+F31+F32+F33+F34</f>
        <v>8977625</v>
      </c>
      <c r="G26" s="38">
        <f>G28+G29+G30+G31+G32+G33</f>
        <v>4717595</v>
      </c>
      <c r="H26" s="38">
        <f>H27+H28+H29+H30+H31+H32+H33+H34</f>
        <v>0</v>
      </c>
      <c r="I26" s="38">
        <f t="shared" ref="I26:T26" si="11">I27+I28+I29+I30+I31+I32+I33+I34</f>
        <v>0</v>
      </c>
      <c r="J26" s="38">
        <f t="shared" si="11"/>
        <v>0</v>
      </c>
      <c r="K26" s="38">
        <f t="shared" si="11"/>
        <v>0</v>
      </c>
      <c r="L26" s="38">
        <f t="shared" si="11"/>
        <v>0</v>
      </c>
      <c r="M26" s="38">
        <f t="shared" si="11"/>
        <v>0</v>
      </c>
      <c r="N26" s="38">
        <f t="shared" si="11"/>
        <v>0</v>
      </c>
      <c r="O26" s="38">
        <f t="shared" si="11"/>
        <v>0</v>
      </c>
      <c r="P26" s="38">
        <f t="shared" si="11"/>
        <v>0</v>
      </c>
      <c r="Q26" s="38">
        <f t="shared" si="11"/>
        <v>0</v>
      </c>
      <c r="R26" s="38">
        <f t="shared" si="11"/>
        <v>0</v>
      </c>
      <c r="S26" s="38">
        <f t="shared" si="11"/>
        <v>0</v>
      </c>
      <c r="T26" s="38">
        <f t="shared" si="11"/>
        <v>0</v>
      </c>
      <c r="U26" s="38">
        <f>U27+U28+U29+U30+U31+U32+U33+U34</f>
        <v>0</v>
      </c>
      <c r="V26" s="38">
        <f>V27+V28+V29+V30+V31+V32+V33+V34</f>
        <v>0</v>
      </c>
    </row>
    <row r="27" spans="1:22" s="20" customFormat="1" x14ac:dyDescent="0.3">
      <c r="A27" s="32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20" customFormat="1" x14ac:dyDescent="0.3">
      <c r="A28" s="34" t="s">
        <v>11</v>
      </c>
      <c r="B28" s="35">
        <v>1753600</v>
      </c>
      <c r="C28" s="35">
        <v>2800000</v>
      </c>
      <c r="D28" s="35">
        <v>1950000</v>
      </c>
      <c r="E28" s="35">
        <v>7043258</v>
      </c>
      <c r="F28" s="35">
        <f>1688103+2000000+100000-47263+900000+90000</f>
        <v>4730840</v>
      </c>
      <c r="G28" s="35">
        <v>3943798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20" customFormat="1" x14ac:dyDescent="0.3">
      <c r="A29" s="34" t="s">
        <v>12</v>
      </c>
      <c r="B29" s="35">
        <v>257453</v>
      </c>
      <c r="C29" s="35"/>
      <c r="D29" s="35">
        <v>241231.98</v>
      </c>
      <c r="E29" s="35">
        <v>4146121</v>
      </c>
      <c r="F29" s="35">
        <f>5077519-110000-271378-243699-540840</f>
        <v>3911602</v>
      </c>
      <c r="G29" s="35">
        <f>209624+264173</f>
        <v>473797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20" customFormat="1" x14ac:dyDescent="0.3">
      <c r="A30" s="34" t="s">
        <v>14</v>
      </c>
      <c r="B30" s="41" t="s">
        <v>42</v>
      </c>
      <c r="C30" s="41" t="s">
        <v>42</v>
      </c>
      <c r="D30" s="41" t="s">
        <v>42</v>
      </c>
      <c r="E30" s="35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20" customFormat="1" x14ac:dyDescent="0.3">
      <c r="A31" s="34" t="s">
        <v>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20" customFormat="1" x14ac:dyDescent="0.3">
      <c r="A32" s="34" t="s">
        <v>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4" s="20" customFormat="1" x14ac:dyDescent="0.3">
      <c r="A33" s="34" t="s">
        <v>3</v>
      </c>
      <c r="B33" s="35">
        <v>1425588</v>
      </c>
      <c r="C33" s="35">
        <v>1191161</v>
      </c>
      <c r="D33" s="35">
        <v>1665789</v>
      </c>
      <c r="E33" s="35">
        <v>1807493</v>
      </c>
      <c r="F33" s="35">
        <f>268653+66530</f>
        <v>335183</v>
      </c>
      <c r="G33" s="35">
        <v>300000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4" s="20" customFormat="1" ht="23.25" thickBot="1" x14ac:dyDescent="0.35">
      <c r="A34" s="39" t="s">
        <v>13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4" ht="23.25" thickBot="1" x14ac:dyDescent="0.35">
      <c r="A35" s="37" t="s">
        <v>6</v>
      </c>
      <c r="B35" s="38">
        <f>B36+B37+B38</f>
        <v>1224146</v>
      </c>
      <c r="C35" s="38">
        <f>C36+C37+C38</f>
        <v>1383050</v>
      </c>
      <c r="D35" s="38">
        <f>D36+D37+D38</f>
        <v>2309370</v>
      </c>
      <c r="E35" s="38">
        <f t="shared" ref="E35:T35" si="12">E36+E37+E38</f>
        <v>3987762</v>
      </c>
      <c r="F35" s="38">
        <f t="shared" si="12"/>
        <v>7904148</v>
      </c>
      <c r="G35" s="38">
        <f t="shared" si="12"/>
        <v>2532624</v>
      </c>
      <c r="H35" s="38">
        <f>H36</f>
        <v>2160496</v>
      </c>
      <c r="I35" s="90">
        <f>I36</f>
        <v>1990520</v>
      </c>
      <c r="J35" s="38">
        <f>J36</f>
        <v>3010520</v>
      </c>
      <c r="K35" s="38">
        <f t="shared" si="12"/>
        <v>2354525</v>
      </c>
      <c r="L35" s="38">
        <f t="shared" si="12"/>
        <v>1755378</v>
      </c>
      <c r="M35" s="38">
        <f t="shared" si="12"/>
        <v>2007920</v>
      </c>
      <c r="N35" s="38">
        <f t="shared" si="12"/>
        <v>810920</v>
      </c>
      <c r="O35" s="38">
        <f t="shared" si="12"/>
        <v>297920</v>
      </c>
      <c r="P35" s="38">
        <f t="shared" si="12"/>
        <v>308250</v>
      </c>
      <c r="Q35" s="38">
        <f t="shared" si="12"/>
        <v>201920</v>
      </c>
      <c r="R35" s="38">
        <f t="shared" si="12"/>
        <v>101920</v>
      </c>
      <c r="S35" s="38">
        <f t="shared" si="12"/>
        <v>101920</v>
      </c>
      <c r="T35" s="38">
        <f t="shared" si="12"/>
        <v>101920</v>
      </c>
      <c r="U35" s="38">
        <f>U36+U37+U38</f>
        <v>101920</v>
      </c>
      <c r="V35" s="38">
        <f>V36+V37+V38</f>
        <v>76440</v>
      </c>
    </row>
    <row r="36" spans="1:24" s="20" customFormat="1" ht="23.25" thickBot="1" x14ac:dyDescent="0.35">
      <c r="A36" s="30" t="s">
        <v>44</v>
      </c>
      <c r="B36" s="31">
        <v>1224146</v>
      </c>
      <c r="C36" s="31">
        <v>1383050</v>
      </c>
      <c r="D36" s="31">
        <v>2309370</v>
      </c>
      <c r="E36" s="31">
        <v>3987762</v>
      </c>
      <c r="F36" s="31">
        <f>Harmonogram!E17</f>
        <v>7904148</v>
      </c>
      <c r="G36" s="31">
        <v>2532624</v>
      </c>
      <c r="H36" s="31">
        <f>2174096-13600</f>
        <v>2160496</v>
      </c>
      <c r="I36" s="29">
        <v>1990520</v>
      </c>
      <c r="J36" s="31">
        <v>3010520</v>
      </c>
      <c r="K36" s="31">
        <v>2354525</v>
      </c>
      <c r="L36" s="31">
        <v>1755378</v>
      </c>
      <c r="M36" s="31">
        <f>Harmonogram!S17</f>
        <v>2007920</v>
      </c>
      <c r="N36" s="31">
        <f>Harmonogram!U17</f>
        <v>810920</v>
      </c>
      <c r="O36" s="31">
        <f>Harmonogram!AI17</f>
        <v>297920</v>
      </c>
      <c r="P36" s="31">
        <f>Harmonogram!AK17</f>
        <v>308250</v>
      </c>
      <c r="Q36" s="31">
        <f>Harmonogram!AM17</f>
        <v>201920</v>
      </c>
      <c r="R36" s="31">
        <f>Harmonogram!AO17</f>
        <v>101920</v>
      </c>
      <c r="S36" s="31">
        <f>Harmonogram!AQ17</f>
        <v>101920</v>
      </c>
      <c r="T36" s="31">
        <f>Harmonogram!AS17</f>
        <v>101920</v>
      </c>
      <c r="U36" s="31">
        <f>Harmonogram!AU17</f>
        <v>101920</v>
      </c>
      <c r="V36" s="31">
        <f>Harmonogram!AW17</f>
        <v>76440</v>
      </c>
      <c r="X36" s="44"/>
    </row>
    <row r="37" spans="1:24" s="20" customFormat="1" x14ac:dyDescent="0.3">
      <c r="A37" s="32" t="s">
        <v>7</v>
      </c>
      <c r="B37" s="45"/>
      <c r="C37" s="45"/>
      <c r="D37" s="4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4" s="20" customFormat="1" x14ac:dyDescent="0.3">
      <c r="A38" s="30" t="s">
        <v>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4" s="1" customFormat="1" ht="74.25" customHeight="1" x14ac:dyDescent="0.3">
      <c r="A39" s="30" t="s">
        <v>75</v>
      </c>
      <c r="B39" s="46" t="str">
        <f>IF((B18+B26-B24-B35)=0,"OK","Bilans różny od zera- SPRAWDŹ!!!")</f>
        <v>Bilans różny od zera- SPRAWDŹ!!!</v>
      </c>
      <c r="C39" s="46" t="s">
        <v>85</v>
      </c>
      <c r="D39" s="46" t="s">
        <v>85</v>
      </c>
      <c r="E39" s="46" t="s">
        <v>85</v>
      </c>
      <c r="F39" s="46" t="str">
        <f t="shared" ref="F39:T39" si="13">IF((F18+F26-F24-F35)=0,"OK","Bilans różny od zera- SPRAWDŹ!!!")</f>
        <v>OK</v>
      </c>
      <c r="G39" s="46" t="str">
        <f t="shared" si="13"/>
        <v>OK</v>
      </c>
      <c r="H39" s="46" t="str">
        <f t="shared" si="13"/>
        <v>OK</v>
      </c>
      <c r="I39" s="46" t="str">
        <f>IF((I18+I26-I24-I36)=0,"OK","Bilans różny od zera- SPRAWDŹ!!!")</f>
        <v>OK</v>
      </c>
      <c r="J39" s="46" t="str">
        <f>IF((J18+J26-J24-J35)=0,"OK","Bilans różny od zera- SPRAWDŹ!!!")</f>
        <v>OK</v>
      </c>
      <c r="K39" s="46" t="str">
        <f t="shared" si="13"/>
        <v>OK</v>
      </c>
      <c r="L39" s="46" t="str">
        <f t="shared" si="13"/>
        <v>OK</v>
      </c>
      <c r="M39" s="46" t="str">
        <f t="shared" si="13"/>
        <v>OK</v>
      </c>
      <c r="N39" s="46" t="str">
        <f t="shared" si="13"/>
        <v>OK</v>
      </c>
      <c r="O39" s="46" t="str">
        <f t="shared" si="13"/>
        <v>OK</v>
      </c>
      <c r="P39" s="46" t="str">
        <f t="shared" si="13"/>
        <v>OK</v>
      </c>
      <c r="Q39" s="46" t="str">
        <f t="shared" si="13"/>
        <v>OK</v>
      </c>
      <c r="R39" s="46" t="str">
        <f t="shared" si="13"/>
        <v>OK</v>
      </c>
      <c r="S39" s="46" t="str">
        <f t="shared" si="13"/>
        <v>OK</v>
      </c>
      <c r="T39" s="46" t="str">
        <f t="shared" si="13"/>
        <v>OK</v>
      </c>
      <c r="U39" s="46" t="str">
        <f>IF((U18+U26-U24-U35)=0,"OK","Bilans różny od zera- SPRAWDŹ!!!")</f>
        <v>OK</v>
      </c>
      <c r="V39" s="46" t="str">
        <f>IF((V18+V26-V24-V35)=0,"OK","Bilans różny od zera- SPRAWDŹ!!!")</f>
        <v>OK</v>
      </c>
    </row>
    <row r="40" spans="1:24" s="1" customFormat="1" ht="45" x14ac:dyDescent="0.3">
      <c r="A40" s="30" t="s">
        <v>46</v>
      </c>
      <c r="B40" s="47">
        <f>B8-B19</f>
        <v>4272559</v>
      </c>
      <c r="C40" s="47">
        <f>C8-C19</f>
        <v>4836959</v>
      </c>
      <c r="D40" s="47">
        <f>D8-D19</f>
        <v>4389281.4200000018</v>
      </c>
      <c r="E40" s="47">
        <f t="shared" ref="E40:T40" si="14">E8-E19</f>
        <v>1981202</v>
      </c>
      <c r="F40" s="47">
        <f t="shared" si="14"/>
        <v>2514402</v>
      </c>
      <c r="G40" s="47">
        <f t="shared" si="14"/>
        <v>1030773</v>
      </c>
      <c r="H40" s="47">
        <f t="shared" si="14"/>
        <v>4028000</v>
      </c>
      <c r="I40" s="47">
        <f t="shared" si="14"/>
        <v>6535600</v>
      </c>
      <c r="J40" s="47">
        <f t="shared" si="14"/>
        <v>7677600</v>
      </c>
      <c r="K40" s="47">
        <f t="shared" si="14"/>
        <v>7462200</v>
      </c>
      <c r="L40" s="47">
        <f t="shared" si="14"/>
        <v>7142760</v>
      </c>
      <c r="M40" s="47">
        <f t="shared" si="14"/>
        <v>7213000</v>
      </c>
      <c r="N40" s="47">
        <f t="shared" si="14"/>
        <v>7020000</v>
      </c>
      <c r="O40" s="47">
        <f t="shared" si="14"/>
        <v>6797900</v>
      </c>
      <c r="P40" s="47">
        <f t="shared" si="14"/>
        <v>6580000</v>
      </c>
      <c r="Q40" s="47">
        <f t="shared" si="14"/>
        <v>6325000</v>
      </c>
      <c r="R40" s="47">
        <f t="shared" si="14"/>
        <v>6067000</v>
      </c>
      <c r="S40" s="47">
        <f t="shared" si="14"/>
        <v>5800000</v>
      </c>
      <c r="T40" s="47">
        <f t="shared" si="14"/>
        <v>5523000</v>
      </c>
      <c r="U40" s="47">
        <f>U8-U19</f>
        <v>5180000</v>
      </c>
      <c r="V40" s="47">
        <f>V8-V19</f>
        <v>4850000</v>
      </c>
    </row>
    <row r="41" spans="1:24" s="1" customFormat="1" ht="45" x14ac:dyDescent="0.3">
      <c r="A41" s="30" t="s">
        <v>47</v>
      </c>
      <c r="B41" s="48">
        <f>B8/B19*100</f>
        <v>115.24686936759072</v>
      </c>
      <c r="C41" s="48">
        <f>C8/C19*100</f>
        <v>121.00077964481419</v>
      </c>
      <c r="D41" s="48">
        <f>D8/D19*100</f>
        <v>117.39922190895705</v>
      </c>
      <c r="E41" s="48">
        <f t="shared" ref="E41:T41" si="15">E8/E19*100</f>
        <v>106.5763537567549</v>
      </c>
      <c r="F41" s="48">
        <f t="shared" si="15"/>
        <v>107.88675972057105</v>
      </c>
      <c r="G41" s="48">
        <f t="shared" si="15"/>
        <v>103.07747394274446</v>
      </c>
      <c r="H41" s="48">
        <f t="shared" si="15"/>
        <v>112.36796855809384</v>
      </c>
      <c r="I41" s="48">
        <f t="shared" si="15"/>
        <v>120.71216692442259</v>
      </c>
      <c r="J41" s="48">
        <f t="shared" si="15"/>
        <v>124.33131354105925</v>
      </c>
      <c r="K41" s="48">
        <f t="shared" si="15"/>
        <v>122.9226695500986</v>
      </c>
      <c r="L41" s="48">
        <f t="shared" si="15"/>
        <v>121.21197722583274</v>
      </c>
      <c r="M41" s="48">
        <f t="shared" si="15"/>
        <v>120.95583962812317</v>
      </c>
      <c r="N41" s="48">
        <f t="shared" si="15"/>
        <v>119.80253878702398</v>
      </c>
      <c r="O41" s="48">
        <f t="shared" si="15"/>
        <v>118.6156622513836</v>
      </c>
      <c r="P41" s="48">
        <f t="shared" si="15"/>
        <v>117.5</v>
      </c>
      <c r="Q41" s="48">
        <f t="shared" si="15"/>
        <v>116.32679401135778</v>
      </c>
      <c r="R41" s="48">
        <f t="shared" si="15"/>
        <v>115.20437059870186</v>
      </c>
      <c r="S41" s="48">
        <f t="shared" si="15"/>
        <v>114.11192214111922</v>
      </c>
      <c r="T41" s="48">
        <f t="shared" si="15"/>
        <v>113.0567375886525</v>
      </c>
      <c r="U41" s="48">
        <f>U8/U19*100</f>
        <v>111.88073394495413</v>
      </c>
      <c r="V41" s="48">
        <f>V8/V19*100</f>
        <v>110.80178173719378</v>
      </c>
    </row>
    <row r="42" spans="1:24" s="1" customFormat="1" x14ac:dyDescent="0.3">
      <c r="A42" s="49" t="s">
        <v>65</v>
      </c>
      <c r="B42" s="31">
        <v>4412774</v>
      </c>
      <c r="C42" s="31">
        <v>5829724</v>
      </c>
      <c r="D42" s="31">
        <v>5711586</v>
      </c>
      <c r="E42" s="31">
        <v>12784482.779999999</v>
      </c>
      <c r="F42" s="47">
        <f>E42+F28+F29-F36-F43</f>
        <v>13497517.780000001</v>
      </c>
      <c r="G42" s="47">
        <f>F42+G28-G36+G29+G30</f>
        <v>15382488.780000001</v>
      </c>
      <c r="H42" s="47">
        <f>G42-H36+H28</f>
        <v>13221992.780000001</v>
      </c>
      <c r="I42" s="47">
        <f t="shared" ref="I42:K42" si="16">H42-I36+I28</f>
        <v>11231472.780000001</v>
      </c>
      <c r="J42" s="47">
        <f t="shared" si="16"/>
        <v>8220952.7800000012</v>
      </c>
      <c r="K42" s="47">
        <f t="shared" si="16"/>
        <v>5866427.7800000012</v>
      </c>
      <c r="L42" s="47">
        <f t="shared" ref="L42:T42" si="17">K42+L27+L28+L29+L30-L36-L37</f>
        <v>4111049.7800000012</v>
      </c>
      <c r="M42" s="47">
        <f t="shared" si="17"/>
        <v>2103129.7800000012</v>
      </c>
      <c r="N42" s="47">
        <f t="shared" si="17"/>
        <v>1292209.7800000012</v>
      </c>
      <c r="O42" s="47">
        <f t="shared" si="17"/>
        <v>994289.78000000119</v>
      </c>
      <c r="P42" s="47">
        <f t="shared" si="17"/>
        <v>686039.78000000119</v>
      </c>
      <c r="Q42" s="47">
        <f t="shared" si="17"/>
        <v>484119.78000000119</v>
      </c>
      <c r="R42" s="47">
        <f t="shared" si="17"/>
        <v>382199.78000000119</v>
      </c>
      <c r="S42" s="47">
        <f t="shared" si="17"/>
        <v>280279.78000000119</v>
      </c>
      <c r="T42" s="47">
        <f t="shared" si="17"/>
        <v>178359.78000000119</v>
      </c>
      <c r="U42" s="47">
        <f>T42+U27+U28+U29+U30-U36-U37</f>
        <v>76439.780000001192</v>
      </c>
      <c r="V42" s="47">
        <f>U42+V27+V28+V29+V30-V36-V37</f>
        <v>-0.2199999988079071</v>
      </c>
    </row>
    <row r="43" spans="1:24" x14ac:dyDescent="0.3">
      <c r="A43" s="30" t="s">
        <v>66</v>
      </c>
      <c r="B43" s="31"/>
      <c r="C43" s="31"/>
      <c r="D43" s="31"/>
      <c r="E43" s="31">
        <v>128720</v>
      </c>
      <c r="F43" s="47">
        <v>25259</v>
      </c>
      <c r="G43" s="47" t="s">
        <v>42</v>
      </c>
      <c r="H43" s="47" t="s">
        <v>42</v>
      </c>
      <c r="I43" s="47" t="s">
        <v>42</v>
      </c>
      <c r="J43" s="47" t="s">
        <v>42</v>
      </c>
      <c r="K43" s="47" t="s">
        <v>42</v>
      </c>
      <c r="L43" s="47" t="s">
        <v>42</v>
      </c>
      <c r="M43" s="47" t="s">
        <v>42</v>
      </c>
      <c r="N43" s="47" t="s">
        <v>42</v>
      </c>
      <c r="O43" s="47" t="s">
        <v>42</v>
      </c>
      <c r="P43" s="47" t="s">
        <v>42</v>
      </c>
      <c r="Q43" s="47" t="s">
        <v>42</v>
      </c>
      <c r="R43" s="47" t="s">
        <v>42</v>
      </c>
      <c r="S43" s="47" t="s">
        <v>42</v>
      </c>
      <c r="T43" s="47" t="s">
        <v>42</v>
      </c>
      <c r="U43" s="47" t="s">
        <v>42</v>
      </c>
      <c r="V43" s="47" t="s">
        <v>42</v>
      </c>
    </row>
    <row r="44" spans="1:24" s="20" customFormat="1" ht="46.5" hidden="1" x14ac:dyDescent="0.3">
      <c r="A44" s="49" t="s">
        <v>88</v>
      </c>
      <c r="B44" s="50">
        <v>0</v>
      </c>
      <c r="C44" s="50"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4" s="20" customFormat="1" ht="49.5" hidden="1" x14ac:dyDescent="0.3">
      <c r="A45" s="49" t="s">
        <v>89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4" ht="67.5" x14ac:dyDescent="0.3">
      <c r="A46" s="49" t="s">
        <v>67</v>
      </c>
      <c r="B46" s="51">
        <f t="shared" ref="B46:T46" si="18">B42/B18*100</f>
        <v>12.993637767705321</v>
      </c>
      <c r="C46" s="51">
        <f t="shared" si="18"/>
        <v>20.557061381636746</v>
      </c>
      <c r="D46" s="51">
        <f t="shared" si="18"/>
        <v>18.282870255566575</v>
      </c>
      <c r="E46" s="51">
        <f t="shared" si="18"/>
        <v>35.568445792455435</v>
      </c>
      <c r="F46" s="51">
        <f t="shared" si="18"/>
        <v>32.759539014247778</v>
      </c>
      <c r="G46" s="51">
        <f t="shared" si="18"/>
        <v>41.851000372272168</v>
      </c>
      <c r="H46" s="51">
        <f t="shared" si="18"/>
        <v>33.420941256761544</v>
      </c>
      <c r="I46" s="51">
        <f t="shared" si="18"/>
        <v>27.866202158541125</v>
      </c>
      <c r="J46" s="51">
        <f t="shared" si="18"/>
        <v>20.901435930031528</v>
      </c>
      <c r="K46" s="51">
        <f t="shared" si="18"/>
        <v>14.623660833582614</v>
      </c>
      <c r="L46" s="51">
        <f t="shared" si="18"/>
        <v>10.047535878384988</v>
      </c>
      <c r="M46" s="51">
        <f t="shared" si="18"/>
        <v>5.0394886061390292</v>
      </c>
      <c r="N46" s="51">
        <f t="shared" si="18"/>
        <v>3.0354939628846633</v>
      </c>
      <c r="O46" s="51">
        <f t="shared" si="18"/>
        <v>2.2901987331567462</v>
      </c>
      <c r="P46" s="51">
        <f t="shared" si="18"/>
        <v>1.5493219963866334</v>
      </c>
      <c r="Q46" s="51">
        <f t="shared" si="18"/>
        <v>1.0718914646296938</v>
      </c>
      <c r="R46" s="51">
        <f t="shared" si="18"/>
        <v>0.82960664206642321</v>
      </c>
      <c r="S46" s="51">
        <f t="shared" si="18"/>
        <v>0.59633995744681101</v>
      </c>
      <c r="T46" s="51">
        <f t="shared" si="18"/>
        <v>0.37217991361142078</v>
      </c>
      <c r="U46" s="51">
        <f>U42/U18*100</f>
        <v>0.15638252864157365</v>
      </c>
      <c r="V46" s="51">
        <f>V42/V18*100</f>
        <v>-4.4132396952438733E-7</v>
      </c>
    </row>
    <row r="47" spans="1:24" ht="67.5" x14ac:dyDescent="0.3">
      <c r="A47" s="49" t="s">
        <v>68</v>
      </c>
      <c r="B47" s="51">
        <f t="shared" ref="B47:T47" si="19">(B42-B48)/B18*100</f>
        <v>12.993637767705321</v>
      </c>
      <c r="C47" s="51">
        <f>(C42-C48)/C18*100</f>
        <v>20.557061381636746</v>
      </c>
      <c r="D47" s="51">
        <f t="shared" si="19"/>
        <v>18.282870255566575</v>
      </c>
      <c r="E47" s="51">
        <f>(E42-E48)/E18*100</f>
        <v>28.792176583987338</v>
      </c>
      <c r="F47" s="51">
        <f t="shared" si="19"/>
        <v>32.759539014247778</v>
      </c>
      <c r="G47" s="51">
        <f t="shared" si="19"/>
        <v>41.851000372272168</v>
      </c>
      <c r="H47" s="51">
        <f t="shared" si="19"/>
        <v>33.420941256761544</v>
      </c>
      <c r="I47" s="51">
        <f t="shared" si="19"/>
        <v>27.866202158541125</v>
      </c>
      <c r="J47" s="51">
        <f t="shared" si="19"/>
        <v>20.901435930031528</v>
      </c>
      <c r="K47" s="51">
        <f t="shared" si="19"/>
        <v>14.623660833582614</v>
      </c>
      <c r="L47" s="51">
        <f t="shared" si="19"/>
        <v>10.047535878384988</v>
      </c>
      <c r="M47" s="51">
        <f t="shared" si="19"/>
        <v>5.0394886061390292</v>
      </c>
      <c r="N47" s="51">
        <f t="shared" si="19"/>
        <v>3.0354939628846633</v>
      </c>
      <c r="O47" s="51">
        <f t="shared" si="19"/>
        <v>2.2901987331567462</v>
      </c>
      <c r="P47" s="51">
        <f t="shared" si="19"/>
        <v>1.5493219963866334</v>
      </c>
      <c r="Q47" s="51">
        <f t="shared" si="19"/>
        <v>1.0718914646296938</v>
      </c>
      <c r="R47" s="51">
        <f t="shared" si="19"/>
        <v>0.82960664206642321</v>
      </c>
      <c r="S47" s="51">
        <f t="shared" si="19"/>
        <v>0.59633995744681101</v>
      </c>
      <c r="T47" s="51">
        <f t="shared" si="19"/>
        <v>0.37217991361142078</v>
      </c>
      <c r="U47" s="51">
        <f>(U42-U48)/U18*100</f>
        <v>0.15638252864157365</v>
      </c>
      <c r="V47" s="51">
        <f>(V42-V48)/V18*100</f>
        <v>-4.4132396952438733E-7</v>
      </c>
    </row>
    <row r="48" spans="1:24" s="20" customFormat="1" ht="49.5" x14ac:dyDescent="0.3">
      <c r="A48" s="49" t="s">
        <v>90</v>
      </c>
      <c r="B48" s="50"/>
      <c r="C48" s="50"/>
      <c r="D48" s="50"/>
      <c r="E48" s="50">
        <v>2435616.6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3" ht="67.5" x14ac:dyDescent="0.3">
      <c r="A49" s="49" t="s">
        <v>69</v>
      </c>
      <c r="B49" s="51">
        <f>(B20+B21+B22+B36+B37)/B18*100</f>
        <v>4.043095151749788</v>
      </c>
      <c r="C49" s="51">
        <f>(C20+C21+C22+C36+C37)/C18*100</f>
        <v>5.856271762689615</v>
      </c>
      <c r="D49" s="51">
        <f>(D20+D21+D22+D36+D37)/D18*100</f>
        <v>8.1461081225656198</v>
      </c>
      <c r="E49" s="51">
        <f t="shared" ref="E49:T49" si="20">(E20+E21+E22+E36+E37)/E18*100</f>
        <v>11.66360031167955</v>
      </c>
      <c r="F49" s="51">
        <f>(F20+F21+F22+F36+F37)/F18*100</f>
        <v>20.640237170255258</v>
      </c>
      <c r="G49" s="51">
        <f t="shared" si="20"/>
        <v>8.9310059126875263</v>
      </c>
      <c r="H49" s="51">
        <f t="shared" si="20"/>
        <v>6.9776452151054045</v>
      </c>
      <c r="I49" s="51">
        <f t="shared" si="20"/>
        <v>6.3776702642352063</v>
      </c>
      <c r="J49" s="51">
        <f>(J20+J21+J22+J36+J37)/J18*100</f>
        <v>9.0524763551306826</v>
      </c>
      <c r="K49" s="51">
        <f t="shared" si="20"/>
        <v>6.42393309402732</v>
      </c>
      <c r="L49" s="51">
        <f t="shared" si="20"/>
        <v>4.7435673086323193</v>
      </c>
      <c r="M49" s="51">
        <f t="shared" si="20"/>
        <v>5.1480123643160089</v>
      </c>
      <c r="N49" s="51">
        <f t="shared" si="20"/>
        <v>2.1245478036175709</v>
      </c>
      <c r="O49" s="51">
        <f>(O20+O21+O22+O36+O37)/O18*100</f>
        <v>0.81405044339513988</v>
      </c>
      <c r="P49" s="51">
        <f>(P20+P21+P22+P36+P37)/P18*100</f>
        <v>0.7582429990966576</v>
      </c>
      <c r="Q49" s="51">
        <f>(Q20+Q21+Q22+Q36+Q37)/Q18*100</f>
        <v>0.47917635337097308</v>
      </c>
      <c r="R49" s="51">
        <f>(R20+R21+R22+R36+R37)/R18*100</f>
        <v>0.24619057955285437</v>
      </c>
      <c r="S49" s="51">
        <f t="shared" si="20"/>
        <v>0.23493617021276597</v>
      </c>
      <c r="T49" s="51">
        <f t="shared" si="20"/>
        <v>0.22415124261836697</v>
      </c>
      <c r="U49" s="51">
        <f>(U20+U21+U22+U36+U37)/U18*100</f>
        <v>0.21362520458265138</v>
      </c>
      <c r="V49" s="51">
        <f>(V20+V21+V22+V36+V37)/V18*100</f>
        <v>0.15434302908726177</v>
      </c>
    </row>
    <row r="50" spans="1:23" ht="67.5" x14ac:dyDescent="0.3">
      <c r="A50" s="49" t="s">
        <v>70</v>
      </c>
      <c r="B50" s="51">
        <f t="shared" ref="B50:T50" si="21">(B20+B21+B22+B36+B37-B51)/B18*100</f>
        <v>4.043095151749788</v>
      </c>
      <c r="C50" s="51">
        <f t="shared" si="21"/>
        <v>5.856271762689615</v>
      </c>
      <c r="D50" s="51">
        <f t="shared" si="21"/>
        <v>8.1461081225656198</v>
      </c>
      <c r="E50" s="51">
        <f t="shared" si="21"/>
        <v>6.9047058442864797</v>
      </c>
      <c r="F50" s="51">
        <f t="shared" si="21"/>
        <v>7.1185880886642945</v>
      </c>
      <c r="G50" s="51">
        <f t="shared" si="21"/>
        <v>8.3606837608232834</v>
      </c>
      <c r="H50" s="51">
        <f t="shared" si="21"/>
        <v>6.9776452151054045</v>
      </c>
      <c r="I50" s="51">
        <f t="shared" si="21"/>
        <v>6.3776702642352063</v>
      </c>
      <c r="J50" s="51">
        <f>(J20+J21+J22+J36+J37-J51)/J18*100</f>
        <v>9.0524763551306826</v>
      </c>
      <c r="K50" s="51">
        <f t="shared" si="21"/>
        <v>6.42393309402732</v>
      </c>
      <c r="L50" s="51">
        <f t="shared" si="21"/>
        <v>4.7435673086323193</v>
      </c>
      <c r="M50" s="51">
        <f t="shared" si="21"/>
        <v>5.1480123643160089</v>
      </c>
      <c r="N50" s="51">
        <f t="shared" si="21"/>
        <v>2.1245478036175709</v>
      </c>
      <c r="O50" s="51">
        <f t="shared" si="21"/>
        <v>0.81405044339513988</v>
      </c>
      <c r="P50" s="51">
        <f t="shared" si="21"/>
        <v>0.7582429990966576</v>
      </c>
      <c r="Q50" s="51">
        <f t="shared" si="21"/>
        <v>0.47917635337097308</v>
      </c>
      <c r="R50" s="51">
        <f t="shared" si="21"/>
        <v>0.24619057955285437</v>
      </c>
      <c r="S50" s="51">
        <f t="shared" si="21"/>
        <v>0.23493617021276597</v>
      </c>
      <c r="T50" s="51">
        <f t="shared" si="21"/>
        <v>0.22415124261836697</v>
      </c>
      <c r="U50" s="51">
        <f>(U20+U21+U22+U36+U37-U51)/U18*100</f>
        <v>0.21362520458265138</v>
      </c>
      <c r="V50" s="51">
        <f>(V20+V21+V22+V36+V37-V51)/V18*100</f>
        <v>0.15434302908726177</v>
      </c>
    </row>
    <row r="51" spans="1:23" s="20" customFormat="1" ht="94.5" x14ac:dyDescent="0.3">
      <c r="A51" s="49" t="s">
        <v>91</v>
      </c>
      <c r="B51" s="50"/>
      <c r="C51" s="50"/>
      <c r="D51" s="50"/>
      <c r="E51" s="50">
        <v>1710505</v>
      </c>
      <c r="F51" s="50">
        <f>6086239-271378-243699</f>
        <v>5571162</v>
      </c>
      <c r="G51" s="50">
        <v>209624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3" ht="45" x14ac:dyDescent="0.3">
      <c r="A52" s="49" t="s">
        <v>71</v>
      </c>
      <c r="B52" s="52" t="s">
        <v>42</v>
      </c>
      <c r="C52" s="52" t="s">
        <v>42</v>
      </c>
      <c r="D52" s="52" t="s">
        <v>42</v>
      </c>
      <c r="E52" s="52" t="s">
        <v>42</v>
      </c>
      <c r="F52" s="53">
        <f>F8+F32+F33-F19</f>
        <v>2849585</v>
      </c>
      <c r="G52" s="53">
        <f t="shared" ref="G52:T52" si="22">G8+G32+G33-G19</f>
        <v>1330773</v>
      </c>
      <c r="H52" s="53">
        <f t="shared" si="22"/>
        <v>4028000</v>
      </c>
      <c r="I52" s="53">
        <f t="shared" si="22"/>
        <v>6535600</v>
      </c>
      <c r="J52" s="53">
        <f t="shared" si="22"/>
        <v>7677600</v>
      </c>
      <c r="K52" s="53">
        <f t="shared" si="22"/>
        <v>7462200</v>
      </c>
      <c r="L52" s="53">
        <f t="shared" si="22"/>
        <v>7142760</v>
      </c>
      <c r="M52" s="53">
        <f t="shared" si="22"/>
        <v>7213000</v>
      </c>
      <c r="N52" s="53">
        <f t="shared" si="22"/>
        <v>7020000</v>
      </c>
      <c r="O52" s="53">
        <f t="shared" si="22"/>
        <v>6797900</v>
      </c>
      <c r="P52" s="53">
        <f t="shared" si="22"/>
        <v>6580000</v>
      </c>
      <c r="Q52" s="53">
        <f t="shared" si="22"/>
        <v>6325000</v>
      </c>
      <c r="R52" s="53">
        <f t="shared" si="22"/>
        <v>6067000</v>
      </c>
      <c r="S52" s="53">
        <f t="shared" si="22"/>
        <v>5800000</v>
      </c>
      <c r="T52" s="53">
        <f t="shared" si="22"/>
        <v>5523000</v>
      </c>
      <c r="U52" s="53">
        <f>U8+U32+U33-U19</f>
        <v>5180000</v>
      </c>
      <c r="V52" s="53">
        <f>V8+V32+V33-V19</f>
        <v>4850000</v>
      </c>
      <c r="W52" s="54"/>
    </row>
    <row r="53" spans="1:23" ht="45" x14ac:dyDescent="0.3">
      <c r="A53" s="49" t="s">
        <v>72</v>
      </c>
      <c r="B53" s="55"/>
      <c r="C53" s="55"/>
      <c r="D53" s="55"/>
      <c r="E53" s="92">
        <f t="shared" ref="E53:J53" si="23">(E36+E37+E20+E21+E22-E51)/E18</f>
        <v>6.9047058442864795E-2</v>
      </c>
      <c r="F53" s="92">
        <f t="shared" si="23"/>
        <v>7.1185880886642947E-2</v>
      </c>
      <c r="G53" s="92">
        <f t="shared" si="23"/>
        <v>8.3606837608232829E-2</v>
      </c>
      <c r="H53" s="92">
        <f t="shared" si="23"/>
        <v>6.9776452151054047E-2</v>
      </c>
      <c r="I53" s="92">
        <f>(I36+I37+I20+I21+I22-I51)/I18</f>
        <v>6.3776702642352065E-2</v>
      </c>
      <c r="J53" s="92">
        <f t="shared" si="23"/>
        <v>9.0524763551306828E-2</v>
      </c>
      <c r="K53" s="92">
        <f t="shared" ref="K53:T53" si="24">(K36+K37+K20+K21+K22-K51)/K18</f>
        <v>6.4239330940273204E-2</v>
      </c>
      <c r="L53" s="92">
        <f t="shared" si="24"/>
        <v>4.7435673086323196E-2</v>
      </c>
      <c r="M53" s="92">
        <f t="shared" si="24"/>
        <v>5.148012364316009E-2</v>
      </c>
      <c r="N53" s="92">
        <f t="shared" si="24"/>
        <v>2.124547803617571E-2</v>
      </c>
      <c r="O53" s="92">
        <f t="shared" si="24"/>
        <v>8.1405044339513989E-3</v>
      </c>
      <c r="P53" s="92">
        <f t="shared" si="24"/>
        <v>7.5824299909665761E-3</v>
      </c>
      <c r="Q53" s="92">
        <f t="shared" si="24"/>
        <v>4.791763533709731E-3</v>
      </c>
      <c r="R53" s="92">
        <f t="shared" si="24"/>
        <v>2.4619057955285436E-3</v>
      </c>
      <c r="S53" s="92">
        <f t="shared" si="24"/>
        <v>2.3493617021276597E-3</v>
      </c>
      <c r="T53" s="92">
        <f t="shared" si="24"/>
        <v>2.2415124261836697E-3</v>
      </c>
      <c r="U53" s="92">
        <f>(U36+U37+U20+U21+U22-U51)/U18</f>
        <v>2.136252045826514E-3</v>
      </c>
      <c r="V53" s="92">
        <f>(V36+V37+V20+V21+V22-V51)/V18</f>
        <v>1.5434302908726178E-3</v>
      </c>
    </row>
    <row r="54" spans="1:23" ht="67.5" x14ac:dyDescent="0.3">
      <c r="A54" s="56" t="s">
        <v>74</v>
      </c>
      <c r="B54" s="57"/>
      <c r="C54" s="57"/>
      <c r="D54" s="57"/>
      <c r="E54" s="58" t="str">
        <f>IF(E53&lt;=E55,"TAK","NIE")</f>
        <v>TAK</v>
      </c>
      <c r="F54" s="58" t="str">
        <f t="shared" ref="F54:T54" si="25">IF(F53&lt;=F55,"TAK","NIE")</f>
        <v>TAK</v>
      </c>
      <c r="G54" s="58" t="str">
        <f t="shared" si="25"/>
        <v>TAK</v>
      </c>
      <c r="H54" s="58" t="str">
        <f t="shared" si="25"/>
        <v>NIE</v>
      </c>
      <c r="I54" s="58" t="str">
        <f t="shared" si="25"/>
        <v>TAK</v>
      </c>
      <c r="J54" s="58" t="str">
        <f t="shared" si="25"/>
        <v>TAK</v>
      </c>
      <c r="K54" s="58" t="str">
        <f t="shared" si="25"/>
        <v>TAK</v>
      </c>
      <c r="L54" s="58" t="str">
        <f t="shared" si="25"/>
        <v>TAK</v>
      </c>
      <c r="M54" s="58" t="str">
        <f t="shared" si="25"/>
        <v>TAK</v>
      </c>
      <c r="N54" s="58" t="str">
        <f t="shared" si="25"/>
        <v>TAK</v>
      </c>
      <c r="O54" s="58" t="str">
        <f t="shared" si="25"/>
        <v>TAK</v>
      </c>
      <c r="P54" s="58" t="str">
        <f t="shared" si="25"/>
        <v>TAK</v>
      </c>
      <c r="Q54" s="58" t="str">
        <f t="shared" si="25"/>
        <v>TAK</v>
      </c>
      <c r="R54" s="58" t="str">
        <f t="shared" si="25"/>
        <v>TAK</v>
      </c>
      <c r="S54" s="58" t="str">
        <f t="shared" si="25"/>
        <v>TAK</v>
      </c>
      <c r="T54" s="58" t="str">
        <f t="shared" si="25"/>
        <v>TAK</v>
      </c>
      <c r="U54" s="58" t="str">
        <f>IF(U53&lt;=U55,"TAK","NIE")</f>
        <v>TAK</v>
      </c>
      <c r="V54" s="58" t="str">
        <f>IF(V53&lt;=V55,"TAK","NIE")</f>
        <v>TAK</v>
      </c>
    </row>
    <row r="55" spans="1:23" ht="45" x14ac:dyDescent="0.3">
      <c r="A55" s="49" t="s">
        <v>73</v>
      </c>
      <c r="B55" s="55"/>
      <c r="C55" s="55"/>
      <c r="D55" s="55"/>
      <c r="E55" s="92">
        <f>1/3*((D8+D15-D19)/D18+(C8+C15-C19)/C18+(B8+B15-B19)/B18)</f>
        <v>0.14806204269923962</v>
      </c>
      <c r="F55" s="92">
        <f>1/3*((E8+E15-E19)/E18+(D8+D15-D19)/D18+(C8+C15-C19)/C18)</f>
        <v>0.12524144679219465</v>
      </c>
      <c r="G55" s="92">
        <f>1/3*((F8+F15-F19)/F18+(E8+E15-E19)/E18+(D8+D15-D19)/D18)</f>
        <v>8.7312891565349271E-2</v>
      </c>
      <c r="H55" s="92">
        <f>1/3*((G8+G15-G19)/G18+(F8+F15-F19)/F18+(E8+E15-E19)/E18)</f>
        <v>5.0116928371539152E-2</v>
      </c>
      <c r="I55" s="92">
        <f t="shared" ref="I55:T55" si="26">1/3*((H8+H15-H19)/H18+(G8+G15-G19)/G18+(F8+F15-F19)/F18)</f>
        <v>6.5782482724077398E-2</v>
      </c>
      <c r="J55" s="92">
        <f t="shared" si="26"/>
        <v>9.9914017351903084E-2</v>
      </c>
      <c r="K55" s="92">
        <f t="shared" si="26"/>
        <v>0.15557316933127083</v>
      </c>
      <c r="L55" s="92">
        <f t="shared" si="26"/>
        <v>0.18362842763870657</v>
      </c>
      <c r="M55" s="92">
        <f t="shared" si="26"/>
        <v>0.18775532357432204</v>
      </c>
      <c r="N55" s="92">
        <f t="shared" si="26"/>
        <v>0.18025223446391361</v>
      </c>
      <c r="O55" s="92">
        <f t="shared" si="26"/>
        <v>0.17316743741083854</v>
      </c>
      <c r="P55" s="92">
        <f t="shared" si="26"/>
        <v>0.16712327943203878</v>
      </c>
      <c r="Q55" s="92">
        <f t="shared" si="26"/>
        <v>0.1589983281755773</v>
      </c>
      <c r="R55" s="92">
        <f t="shared" si="26"/>
        <v>0.15066574054846493</v>
      </c>
      <c r="S55" s="92">
        <f t="shared" si="26"/>
        <v>0.14232528738287212</v>
      </c>
      <c r="T55" s="92">
        <f t="shared" si="26"/>
        <v>0.13388320059793807</v>
      </c>
      <c r="U55" s="92">
        <f>1/3*((T8+T15-T19)/T18+(S8+S15-S19)/S18+(R8+R15-R19)/R18)</f>
        <v>0.12557582889844598</v>
      </c>
      <c r="V55" s="92">
        <f>1/3*((U8+U15-U19)/U18+(T8+T15-T19)/T18+(S8+S15-S19)/S18)</f>
        <v>0.11696187051471081</v>
      </c>
    </row>
    <row r="58" spans="1:23" x14ac:dyDescent="0.3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3" x14ac:dyDescent="0.3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5" spans="1:4" x14ac:dyDescent="0.3">
      <c r="A65" s="61"/>
    </row>
    <row r="66" spans="1:4" x14ac:dyDescent="0.3">
      <c r="B66" s="20"/>
      <c r="C66" s="20"/>
      <c r="D66" s="20"/>
    </row>
    <row r="67" spans="1:4" x14ac:dyDescent="0.3">
      <c r="B67" s="20"/>
      <c r="C67" s="20"/>
      <c r="D67" s="20"/>
    </row>
  </sheetData>
  <mergeCells count="3">
    <mergeCell ref="F6:V6"/>
    <mergeCell ref="A3:C3"/>
    <mergeCell ref="E1:J1"/>
  </mergeCells>
  <phoneticPr fontId="2" type="noConversion"/>
  <pageMargins left="0" right="0" top="0.28000000000000003" bottom="0.39370078740157483" header="0.17" footer="0.51181102362204722"/>
  <pageSetup paperSize="9" scale="4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7"/>
  <sheetViews>
    <sheetView workbookViewId="0">
      <selection activeCell="I7" sqref="I7"/>
    </sheetView>
  </sheetViews>
  <sheetFormatPr defaultRowHeight="12.75" x14ac:dyDescent="0.2"/>
  <cols>
    <col min="1" max="1" width="4" style="64" customWidth="1"/>
    <col min="2" max="2" width="23.42578125" style="64" customWidth="1"/>
    <col min="3" max="22" width="9.7109375" style="64" customWidth="1"/>
    <col min="23" max="34" width="9.7109375" style="64" hidden="1" customWidth="1"/>
    <col min="35" max="50" width="9.7109375" style="64" customWidth="1"/>
    <col min="51" max="51" width="13.28515625" style="64" customWidth="1"/>
    <col min="52" max="52" width="10.140625" style="64" bestFit="1" customWidth="1"/>
    <col min="53" max="16384" width="9.140625" style="64"/>
  </cols>
  <sheetData>
    <row r="1" spans="1:59" ht="41.25" customHeight="1" x14ac:dyDescent="0.2">
      <c r="E1" s="65"/>
      <c r="F1" s="65"/>
      <c r="G1" s="65"/>
      <c r="H1" s="65"/>
      <c r="I1" s="65"/>
      <c r="J1" s="65"/>
      <c r="K1" s="100"/>
      <c r="L1" s="100"/>
      <c r="M1" s="100"/>
      <c r="N1" s="66"/>
      <c r="O1" s="66"/>
      <c r="P1" s="66"/>
      <c r="Q1" s="66"/>
      <c r="R1" s="66"/>
      <c r="S1" s="66"/>
      <c r="Z1" s="102" t="s">
        <v>25</v>
      </c>
      <c r="AA1" s="102"/>
      <c r="AB1" s="102"/>
      <c r="AC1" s="102"/>
      <c r="AD1" s="102"/>
      <c r="AE1" s="102"/>
      <c r="AF1" s="102"/>
      <c r="AG1" s="102"/>
      <c r="AH1" s="102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</row>
    <row r="2" spans="1:59" ht="21" customHeight="1" x14ac:dyDescent="0.25">
      <c r="E2" s="67" t="s">
        <v>24</v>
      </c>
    </row>
    <row r="3" spans="1:59" ht="17.25" customHeight="1" x14ac:dyDescent="0.2"/>
    <row r="4" spans="1:59" ht="19.5" customHeight="1" x14ac:dyDescent="0.2">
      <c r="A4" s="103" t="s">
        <v>21</v>
      </c>
      <c r="B4" s="105" t="s">
        <v>18</v>
      </c>
      <c r="C4" s="101" t="s">
        <v>17</v>
      </c>
      <c r="D4" s="101"/>
      <c r="E4" s="101" t="s">
        <v>34</v>
      </c>
      <c r="F4" s="101"/>
      <c r="G4" s="101" t="s">
        <v>35</v>
      </c>
      <c r="H4" s="101"/>
      <c r="I4" s="101" t="s">
        <v>36</v>
      </c>
      <c r="J4" s="101"/>
      <c r="K4" s="101" t="s">
        <v>37</v>
      </c>
      <c r="L4" s="101"/>
      <c r="M4" s="101" t="s">
        <v>38</v>
      </c>
      <c r="N4" s="101"/>
      <c r="O4" s="101" t="s">
        <v>39</v>
      </c>
      <c r="P4" s="101"/>
      <c r="Q4" s="101" t="s">
        <v>40</v>
      </c>
      <c r="R4" s="101"/>
      <c r="S4" s="101" t="s">
        <v>41</v>
      </c>
      <c r="T4" s="101"/>
      <c r="U4" s="101" t="s">
        <v>48</v>
      </c>
      <c r="V4" s="101"/>
      <c r="W4" s="101" t="s">
        <v>49</v>
      </c>
      <c r="X4" s="101"/>
      <c r="Y4" s="101" t="s">
        <v>50</v>
      </c>
      <c r="Z4" s="101"/>
      <c r="AA4" s="101" t="s">
        <v>51</v>
      </c>
      <c r="AB4" s="101"/>
      <c r="AC4" s="101" t="s">
        <v>52</v>
      </c>
      <c r="AD4" s="101"/>
      <c r="AE4" s="101" t="s">
        <v>53</v>
      </c>
      <c r="AF4" s="101"/>
      <c r="AG4" s="101" t="s">
        <v>63</v>
      </c>
      <c r="AH4" s="101"/>
      <c r="AI4" s="101" t="s">
        <v>49</v>
      </c>
      <c r="AJ4" s="101"/>
      <c r="AK4" s="101" t="s">
        <v>50</v>
      </c>
      <c r="AL4" s="101"/>
      <c r="AM4" s="101" t="s">
        <v>51</v>
      </c>
      <c r="AN4" s="101"/>
      <c r="AO4" s="101" t="s">
        <v>52</v>
      </c>
      <c r="AP4" s="101"/>
      <c r="AQ4" s="101" t="s">
        <v>53</v>
      </c>
      <c r="AR4" s="101"/>
      <c r="AS4" s="101" t="s">
        <v>63</v>
      </c>
      <c r="AT4" s="101"/>
      <c r="AU4" s="101" t="s">
        <v>78</v>
      </c>
      <c r="AV4" s="101"/>
      <c r="AW4" s="101" t="s">
        <v>79</v>
      </c>
      <c r="AX4" s="101"/>
    </row>
    <row r="5" spans="1:59" ht="21" customHeight="1" x14ac:dyDescent="0.2">
      <c r="A5" s="103"/>
      <c r="B5" s="105"/>
      <c r="C5" s="69" t="s">
        <v>15</v>
      </c>
      <c r="D5" s="69" t="s">
        <v>16</v>
      </c>
      <c r="E5" s="69" t="s">
        <v>15</v>
      </c>
      <c r="F5" s="69" t="s">
        <v>16</v>
      </c>
      <c r="G5" s="69" t="s">
        <v>15</v>
      </c>
      <c r="H5" s="69" t="s">
        <v>16</v>
      </c>
      <c r="I5" s="69" t="s">
        <v>15</v>
      </c>
      <c r="J5" s="69" t="s">
        <v>16</v>
      </c>
      <c r="K5" s="69" t="s">
        <v>15</v>
      </c>
      <c r="L5" s="69" t="s">
        <v>16</v>
      </c>
      <c r="M5" s="69" t="s">
        <v>15</v>
      </c>
      <c r="N5" s="69" t="s">
        <v>16</v>
      </c>
      <c r="O5" s="69" t="s">
        <v>15</v>
      </c>
      <c r="P5" s="69" t="s">
        <v>16</v>
      </c>
      <c r="Q5" s="69" t="s">
        <v>15</v>
      </c>
      <c r="R5" s="69" t="s">
        <v>16</v>
      </c>
      <c r="S5" s="69" t="s">
        <v>15</v>
      </c>
      <c r="T5" s="69" t="s">
        <v>16</v>
      </c>
      <c r="U5" s="69" t="s">
        <v>15</v>
      </c>
      <c r="V5" s="69" t="s">
        <v>16</v>
      </c>
      <c r="W5" s="69" t="s">
        <v>15</v>
      </c>
      <c r="X5" s="69" t="s">
        <v>16</v>
      </c>
      <c r="Y5" s="69" t="s">
        <v>15</v>
      </c>
      <c r="Z5" s="69" t="s">
        <v>16</v>
      </c>
      <c r="AA5" s="69" t="s">
        <v>15</v>
      </c>
      <c r="AB5" s="69" t="s">
        <v>16</v>
      </c>
      <c r="AC5" s="69" t="s">
        <v>15</v>
      </c>
      <c r="AD5" s="69" t="s">
        <v>16</v>
      </c>
      <c r="AE5" s="69" t="s">
        <v>15</v>
      </c>
      <c r="AF5" s="69" t="s">
        <v>16</v>
      </c>
      <c r="AG5" s="69" t="s">
        <v>15</v>
      </c>
      <c r="AH5" s="69" t="s">
        <v>16</v>
      </c>
      <c r="AI5" s="69" t="s">
        <v>15</v>
      </c>
      <c r="AJ5" s="69" t="s">
        <v>16</v>
      </c>
      <c r="AK5" s="69" t="s">
        <v>15</v>
      </c>
      <c r="AL5" s="69" t="s">
        <v>16</v>
      </c>
      <c r="AM5" s="69" t="s">
        <v>15</v>
      </c>
      <c r="AN5" s="69" t="s">
        <v>16</v>
      </c>
      <c r="AO5" s="69" t="s">
        <v>15</v>
      </c>
      <c r="AP5" s="69" t="s">
        <v>16</v>
      </c>
      <c r="AQ5" s="69" t="s">
        <v>15</v>
      </c>
      <c r="AR5" s="69" t="s">
        <v>16</v>
      </c>
      <c r="AS5" s="69" t="s">
        <v>15</v>
      </c>
      <c r="AT5" s="69" t="s">
        <v>16</v>
      </c>
      <c r="AU5" s="69" t="s">
        <v>15</v>
      </c>
      <c r="AV5" s="69" t="s">
        <v>16</v>
      </c>
      <c r="AW5" s="69" t="s">
        <v>15</v>
      </c>
      <c r="AX5" s="69" t="s">
        <v>16</v>
      </c>
    </row>
    <row r="6" spans="1:59" ht="27" customHeight="1" x14ac:dyDescent="0.2">
      <c r="A6" s="70" t="s">
        <v>26</v>
      </c>
      <c r="B6" s="71" t="s">
        <v>28</v>
      </c>
      <c r="C6" s="72">
        <f>C7+C8</f>
        <v>5663802</v>
      </c>
      <c r="D6" s="72">
        <f t="shared" ref="D6:BB6" si="0">D7+D8</f>
        <v>350000</v>
      </c>
      <c r="E6" s="72">
        <f t="shared" si="0"/>
        <v>7904148</v>
      </c>
      <c r="F6" s="72">
        <f t="shared" si="0"/>
        <v>600000</v>
      </c>
      <c r="G6" s="72">
        <f t="shared" si="0"/>
        <v>2537127</v>
      </c>
      <c r="H6" s="72">
        <f t="shared" si="0"/>
        <v>564000</v>
      </c>
      <c r="I6" s="72">
        <f t="shared" si="0"/>
        <v>2674096</v>
      </c>
      <c r="J6" s="72">
        <f t="shared" si="0"/>
        <v>660000</v>
      </c>
      <c r="K6" s="72">
        <f t="shared" si="0"/>
        <v>3020520</v>
      </c>
      <c r="L6" s="72">
        <f t="shared" si="0"/>
        <v>530000</v>
      </c>
      <c r="M6" s="72">
        <f t="shared" si="0"/>
        <v>3010520</v>
      </c>
      <c r="N6" s="72">
        <f t="shared" si="0"/>
        <v>405500</v>
      </c>
      <c r="O6" s="72">
        <f t="shared" si="0"/>
        <v>2354525</v>
      </c>
      <c r="P6" s="72">
        <f t="shared" si="0"/>
        <v>222500</v>
      </c>
      <c r="Q6" s="72">
        <f t="shared" si="0"/>
        <v>1755378</v>
      </c>
      <c r="R6" s="72">
        <f t="shared" si="0"/>
        <v>185500</v>
      </c>
      <c r="S6" s="72">
        <f t="shared" si="0"/>
        <v>2007920</v>
      </c>
      <c r="T6" s="72">
        <f t="shared" si="0"/>
        <v>140500</v>
      </c>
      <c r="U6" s="72">
        <f t="shared" si="0"/>
        <v>810920</v>
      </c>
      <c r="V6" s="72">
        <f t="shared" si="0"/>
        <v>93500</v>
      </c>
      <c r="W6" s="72">
        <f t="shared" si="0"/>
        <v>0</v>
      </c>
      <c r="X6" s="72">
        <f t="shared" si="0"/>
        <v>0</v>
      </c>
      <c r="Y6" s="72">
        <f t="shared" si="0"/>
        <v>0</v>
      </c>
      <c r="Z6" s="72">
        <f t="shared" si="0"/>
        <v>0</v>
      </c>
      <c r="AA6" s="72">
        <f t="shared" si="0"/>
        <v>0</v>
      </c>
      <c r="AB6" s="72">
        <f t="shared" si="0"/>
        <v>0</v>
      </c>
      <c r="AC6" s="72">
        <f t="shared" si="0"/>
        <v>0</v>
      </c>
      <c r="AD6" s="72">
        <f t="shared" si="0"/>
        <v>0</v>
      </c>
      <c r="AE6" s="72">
        <f t="shared" si="0"/>
        <v>0</v>
      </c>
      <c r="AF6" s="72">
        <f t="shared" si="0"/>
        <v>0</v>
      </c>
      <c r="AG6" s="72">
        <f t="shared" si="0"/>
        <v>0</v>
      </c>
      <c r="AH6" s="72">
        <f t="shared" si="0"/>
        <v>0</v>
      </c>
      <c r="AI6" s="72">
        <f t="shared" si="0"/>
        <v>297920</v>
      </c>
      <c r="AJ6" s="72">
        <f t="shared" si="0"/>
        <v>55500</v>
      </c>
      <c r="AK6" s="72">
        <f t="shared" si="0"/>
        <v>308250</v>
      </c>
      <c r="AL6" s="72">
        <f t="shared" si="0"/>
        <v>27500</v>
      </c>
      <c r="AM6" s="72">
        <f t="shared" si="0"/>
        <v>201920</v>
      </c>
      <c r="AN6" s="72">
        <f t="shared" si="0"/>
        <v>14500</v>
      </c>
      <c r="AO6" s="72">
        <f t="shared" si="0"/>
        <v>101920</v>
      </c>
      <c r="AP6" s="72">
        <f t="shared" si="0"/>
        <v>11500</v>
      </c>
      <c r="AQ6" s="72">
        <f t="shared" si="0"/>
        <v>101920</v>
      </c>
      <c r="AR6" s="72">
        <f t="shared" si="0"/>
        <v>8500</v>
      </c>
      <c r="AS6" s="72">
        <f t="shared" si="0"/>
        <v>101920</v>
      </c>
      <c r="AT6" s="72">
        <f t="shared" si="0"/>
        <v>5500</v>
      </c>
      <c r="AU6" s="72">
        <f t="shared" si="0"/>
        <v>101920</v>
      </c>
      <c r="AV6" s="72">
        <f t="shared" si="0"/>
        <v>2500</v>
      </c>
      <c r="AW6" s="72">
        <f t="shared" si="0"/>
        <v>69969</v>
      </c>
      <c r="AX6" s="72">
        <f t="shared" si="0"/>
        <v>500</v>
      </c>
      <c r="AY6" s="72">
        <f t="shared" si="0"/>
        <v>25217893</v>
      </c>
      <c r="AZ6" s="72">
        <f t="shared" si="0"/>
        <v>14231646</v>
      </c>
      <c r="BA6" s="72">
        <f t="shared" si="0"/>
        <v>0</v>
      </c>
      <c r="BB6" s="72">
        <f t="shared" si="0"/>
        <v>0</v>
      </c>
      <c r="BC6" s="72">
        <f>BC7+BC8</f>
        <v>0</v>
      </c>
      <c r="BD6" s="72">
        <f>BD7+BD8</f>
        <v>0</v>
      </c>
      <c r="BE6" s="72">
        <f>BE7+BE8</f>
        <v>0</v>
      </c>
      <c r="BF6" s="72">
        <f>BF7+BF8</f>
        <v>0</v>
      </c>
      <c r="BG6" s="72">
        <f>BG7+BG8</f>
        <v>0</v>
      </c>
    </row>
    <row r="7" spans="1:59" ht="18" customHeight="1" x14ac:dyDescent="0.2">
      <c r="A7" s="68">
        <v>1</v>
      </c>
      <c r="B7" s="68" t="s">
        <v>29</v>
      </c>
      <c r="C7" s="72">
        <v>1735871</v>
      </c>
      <c r="D7" s="72">
        <v>321500</v>
      </c>
      <c r="E7" s="72">
        <v>2007918</v>
      </c>
      <c r="F7" s="72">
        <v>500000</v>
      </c>
      <c r="G7" s="72">
        <f>2233000+88103+20000-13600</f>
        <v>2327503</v>
      </c>
      <c r="H7" s="72">
        <f>458000+64000</f>
        <v>522000</v>
      </c>
      <c r="I7" s="72">
        <f>2233000+50000+20000+180000-30000+50000+200000-54400</f>
        <v>2648600</v>
      </c>
      <c r="J7" s="72">
        <f>409000+90000+120000</f>
        <v>619000</v>
      </c>
      <c r="K7" s="72">
        <f>2173000+300000+20000+180000+50000+50000+200000-54400</f>
        <v>2918600</v>
      </c>
      <c r="L7" s="72">
        <f>291500+80000+120000</f>
        <v>491500</v>
      </c>
      <c r="M7" s="72">
        <f>1963000+450000+20000+180000+100000+50000+200000-54400</f>
        <v>2908600</v>
      </c>
      <c r="N7" s="72">
        <f>190000+70000+110000</f>
        <v>370000</v>
      </c>
      <c r="O7" s="72">
        <f>346000+400000+100000+15405+1500000-108800</f>
        <v>2252605</v>
      </c>
      <c r="P7" s="72">
        <f>50000+60000+80000</f>
        <v>190000</v>
      </c>
      <c r="Q7" s="72">
        <f>306000+400000+200000+502698+500000-255240</f>
        <v>1653458</v>
      </c>
      <c r="R7" s="72">
        <f>41000+50000+65000</f>
        <v>156000</v>
      </c>
      <c r="S7" s="72">
        <f>276000+400000+230000+500000+500000</f>
        <v>1906000</v>
      </c>
      <c r="T7" s="72">
        <f>34000+40000+40000</f>
        <v>114000</v>
      </c>
      <c r="U7" s="72">
        <f>276000+433000</f>
        <v>709000</v>
      </c>
      <c r="V7" s="72">
        <f>25000+30000+15000</f>
        <v>70000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>
        <f>276000+30000-110000</f>
        <v>196000</v>
      </c>
      <c r="AJ7" s="72">
        <f>15000+20000</f>
        <v>35000</v>
      </c>
      <c r="AK7" s="72">
        <v>206330</v>
      </c>
      <c r="AL7" s="72">
        <v>10000</v>
      </c>
      <c r="AM7" s="72">
        <v>100000</v>
      </c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>
        <f>C7+E7+G7+I7+K7+M7</f>
        <v>14547092</v>
      </c>
      <c r="AZ7" s="73">
        <f>E7+G7+I7+K7+M7</f>
        <v>12811221</v>
      </c>
    </row>
    <row r="8" spans="1:59" ht="19.5" customHeight="1" x14ac:dyDescent="0.2">
      <c r="A8" s="68">
        <v>2</v>
      </c>
      <c r="B8" s="68" t="s">
        <v>30</v>
      </c>
      <c r="C8" s="72">
        <v>3927931</v>
      </c>
      <c r="D8" s="72">
        <v>28500</v>
      </c>
      <c r="E8" s="72">
        <f>4376281-64360-41668+1894936-25260-243699</f>
        <v>5896230</v>
      </c>
      <c r="F8" s="72">
        <v>100000</v>
      </c>
      <c r="G8" s="72">
        <v>209624</v>
      </c>
      <c r="H8" s="72">
        <v>42000</v>
      </c>
      <c r="I8" s="72">
        <v>25496</v>
      </c>
      <c r="J8" s="72">
        <v>41000</v>
      </c>
      <c r="K8" s="72">
        <v>101920</v>
      </c>
      <c r="L8" s="72">
        <v>38500</v>
      </c>
      <c r="M8" s="72">
        <v>101920</v>
      </c>
      <c r="N8" s="72">
        <v>35500</v>
      </c>
      <c r="O8" s="72">
        <v>101920</v>
      </c>
      <c r="P8" s="72">
        <v>32500</v>
      </c>
      <c r="Q8" s="72">
        <v>101920</v>
      </c>
      <c r="R8" s="72">
        <v>29500</v>
      </c>
      <c r="S8" s="72">
        <v>101920</v>
      </c>
      <c r="T8" s="72">
        <v>26500</v>
      </c>
      <c r="U8" s="72">
        <v>101920</v>
      </c>
      <c r="V8" s="72">
        <v>23500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>
        <v>101920</v>
      </c>
      <c r="AJ8" s="72">
        <v>20500</v>
      </c>
      <c r="AK8" s="72">
        <v>101920</v>
      </c>
      <c r="AL8" s="72">
        <v>17500</v>
      </c>
      <c r="AM8" s="72">
        <v>101920</v>
      </c>
      <c r="AN8" s="72">
        <v>14500</v>
      </c>
      <c r="AO8" s="72">
        <v>101920</v>
      </c>
      <c r="AP8" s="72">
        <v>11500</v>
      </c>
      <c r="AQ8" s="72">
        <v>101920</v>
      </c>
      <c r="AR8" s="72">
        <v>8500</v>
      </c>
      <c r="AS8" s="72">
        <v>101920</v>
      </c>
      <c r="AT8" s="72">
        <v>5500</v>
      </c>
      <c r="AU8" s="72">
        <v>101920</v>
      </c>
      <c r="AV8" s="72">
        <v>2500</v>
      </c>
      <c r="AW8" s="72">
        <f>77174-7205</f>
        <v>69969</v>
      </c>
      <c r="AX8" s="72">
        <v>500</v>
      </c>
      <c r="AY8" s="72">
        <f>C8+E8+G8+I8+K8+M8+O8+Q8+S8+U8</f>
        <v>10670801</v>
      </c>
      <c r="AZ8" s="73">
        <f>I8+K8+M8+O8+Q8+S8+U8+AI8+AK8+AM8+AO8+AQ8+AS8+AU8+AW8</f>
        <v>1420425</v>
      </c>
    </row>
    <row r="9" spans="1:59" ht="28.5" customHeight="1" thickBot="1" x14ac:dyDescent="0.25">
      <c r="A9" s="62">
        <v>3</v>
      </c>
      <c r="B9" s="63" t="s">
        <v>19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2">
        <f>C9+E9+G9+I9+K9+M9+O9+Q9+S9+U9</f>
        <v>0</v>
      </c>
    </row>
    <row r="10" spans="1:59" ht="25.5" customHeight="1" thickBot="1" x14ac:dyDescent="0.25">
      <c r="A10" s="75"/>
      <c r="B10" s="76" t="s">
        <v>20</v>
      </c>
      <c r="C10" s="77">
        <f>C7+C8+C9</f>
        <v>5663802</v>
      </c>
      <c r="D10" s="77">
        <f t="shared" ref="D10:AX10" si="1">D7+D8+D9</f>
        <v>350000</v>
      </c>
      <c r="E10" s="88">
        <f t="shared" si="1"/>
        <v>7904148</v>
      </c>
      <c r="F10" s="77">
        <f t="shared" si="1"/>
        <v>600000</v>
      </c>
      <c r="G10" s="88">
        <f t="shared" si="1"/>
        <v>2537127</v>
      </c>
      <c r="H10" s="77">
        <f t="shared" si="1"/>
        <v>564000</v>
      </c>
      <c r="I10" s="88">
        <f t="shared" si="1"/>
        <v>2674096</v>
      </c>
      <c r="J10" s="77">
        <f t="shared" si="1"/>
        <v>660000</v>
      </c>
      <c r="K10" s="88">
        <f t="shared" si="1"/>
        <v>3020520</v>
      </c>
      <c r="L10" s="77">
        <f t="shared" si="1"/>
        <v>530000</v>
      </c>
      <c r="M10" s="88">
        <f t="shared" si="1"/>
        <v>3010520</v>
      </c>
      <c r="N10" s="77">
        <f t="shared" si="1"/>
        <v>405500</v>
      </c>
      <c r="O10" s="88">
        <f t="shared" si="1"/>
        <v>2354525</v>
      </c>
      <c r="P10" s="77">
        <f t="shared" si="1"/>
        <v>222500</v>
      </c>
      <c r="Q10" s="88">
        <f t="shared" si="1"/>
        <v>1755378</v>
      </c>
      <c r="R10" s="77">
        <f t="shared" si="1"/>
        <v>185500</v>
      </c>
      <c r="S10" s="88">
        <f t="shared" si="1"/>
        <v>2007920</v>
      </c>
      <c r="T10" s="77">
        <f t="shared" si="1"/>
        <v>140500</v>
      </c>
      <c r="U10" s="88">
        <f t="shared" si="1"/>
        <v>810920</v>
      </c>
      <c r="V10" s="77">
        <f t="shared" si="1"/>
        <v>93500</v>
      </c>
      <c r="W10" s="77">
        <f t="shared" si="1"/>
        <v>0</v>
      </c>
      <c r="X10" s="77">
        <f t="shared" si="1"/>
        <v>0</v>
      </c>
      <c r="Y10" s="77">
        <f t="shared" si="1"/>
        <v>0</v>
      </c>
      <c r="Z10" s="77">
        <f t="shared" si="1"/>
        <v>0</v>
      </c>
      <c r="AA10" s="77">
        <f t="shared" si="1"/>
        <v>0</v>
      </c>
      <c r="AB10" s="77">
        <f t="shared" si="1"/>
        <v>0</v>
      </c>
      <c r="AC10" s="77">
        <f t="shared" si="1"/>
        <v>0</v>
      </c>
      <c r="AD10" s="77">
        <f t="shared" si="1"/>
        <v>0</v>
      </c>
      <c r="AE10" s="77">
        <f t="shared" si="1"/>
        <v>0</v>
      </c>
      <c r="AF10" s="77">
        <f t="shared" si="1"/>
        <v>0</v>
      </c>
      <c r="AG10" s="77">
        <f t="shared" si="1"/>
        <v>0</v>
      </c>
      <c r="AH10" s="77">
        <f t="shared" si="1"/>
        <v>0</v>
      </c>
      <c r="AI10" s="88">
        <f t="shared" si="1"/>
        <v>297920</v>
      </c>
      <c r="AJ10" s="77">
        <f t="shared" si="1"/>
        <v>55500</v>
      </c>
      <c r="AK10" s="88">
        <f t="shared" si="1"/>
        <v>308250</v>
      </c>
      <c r="AL10" s="77">
        <f t="shared" si="1"/>
        <v>27500</v>
      </c>
      <c r="AM10" s="77">
        <f t="shared" si="1"/>
        <v>201920</v>
      </c>
      <c r="AN10" s="77">
        <f t="shared" si="1"/>
        <v>14500</v>
      </c>
      <c r="AO10" s="77">
        <f t="shared" si="1"/>
        <v>101920</v>
      </c>
      <c r="AP10" s="77">
        <f t="shared" si="1"/>
        <v>11500</v>
      </c>
      <c r="AQ10" s="77">
        <f t="shared" si="1"/>
        <v>101920</v>
      </c>
      <c r="AR10" s="77">
        <f t="shared" si="1"/>
        <v>8500</v>
      </c>
      <c r="AS10" s="77">
        <f t="shared" si="1"/>
        <v>101920</v>
      </c>
      <c r="AT10" s="77">
        <f t="shared" si="1"/>
        <v>5500</v>
      </c>
      <c r="AU10" s="77">
        <f t="shared" si="1"/>
        <v>101920</v>
      </c>
      <c r="AV10" s="77">
        <f t="shared" si="1"/>
        <v>2500</v>
      </c>
      <c r="AW10" s="77">
        <f t="shared" si="1"/>
        <v>69969</v>
      </c>
      <c r="AX10" s="77">
        <f t="shared" si="1"/>
        <v>500</v>
      </c>
      <c r="AY10" s="72">
        <f>C10+E10+G10+I10+K10+M10+O10+Q10+S10+U10</f>
        <v>31738956</v>
      </c>
    </row>
    <row r="11" spans="1:59" ht="46.5" customHeight="1" x14ac:dyDescent="0.2">
      <c r="A11" s="78" t="s">
        <v>27</v>
      </c>
      <c r="B11" s="79" t="s">
        <v>32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1">
        <f>C11+E11+G11+I11+K11+M11+O11+Q11+S11+U11++AI11+AK11+AM11+AO11+AQ11+AS11+AU11+AW11</f>
        <v>0</v>
      </c>
    </row>
    <row r="12" spans="1:59" ht="36.75" customHeight="1" x14ac:dyDescent="0.2">
      <c r="A12" s="82" t="s">
        <v>33</v>
      </c>
      <c r="B12" s="83" t="s">
        <v>22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>
        <f t="shared" ref="AK12:AZ12" si="2">AK13+AK14</f>
        <v>0</v>
      </c>
      <c r="AL12" s="84">
        <f t="shared" si="2"/>
        <v>0</v>
      </c>
      <c r="AM12" s="84">
        <f t="shared" si="2"/>
        <v>0</v>
      </c>
      <c r="AN12" s="84">
        <f t="shared" si="2"/>
        <v>0</v>
      </c>
      <c r="AO12" s="84">
        <f t="shared" si="2"/>
        <v>0</v>
      </c>
      <c r="AP12" s="84">
        <f t="shared" si="2"/>
        <v>0</v>
      </c>
      <c r="AQ12" s="84">
        <f t="shared" si="2"/>
        <v>0</v>
      </c>
      <c r="AR12" s="84">
        <f t="shared" si="2"/>
        <v>0</v>
      </c>
      <c r="AS12" s="84">
        <f t="shared" si="2"/>
        <v>0</v>
      </c>
      <c r="AT12" s="84">
        <f t="shared" si="2"/>
        <v>0</v>
      </c>
      <c r="AU12" s="84">
        <f t="shared" si="2"/>
        <v>0</v>
      </c>
      <c r="AV12" s="84">
        <f t="shared" si="2"/>
        <v>0</v>
      </c>
      <c r="AW12" s="84">
        <f t="shared" si="2"/>
        <v>0</v>
      </c>
      <c r="AX12" s="84">
        <f t="shared" si="2"/>
        <v>0</v>
      </c>
      <c r="AY12" s="84">
        <f t="shared" si="2"/>
        <v>0</v>
      </c>
      <c r="AZ12" s="84">
        <f t="shared" si="2"/>
        <v>0</v>
      </c>
    </row>
    <row r="13" spans="1:59" ht="23.25" customHeight="1" x14ac:dyDescent="0.2">
      <c r="A13" s="68">
        <v>1</v>
      </c>
      <c r="B13" s="68" t="s">
        <v>29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81">
        <f>C13+E13+G13+I13+K13+M13+O13+Q13+S13+U13++AI13+AK13+AM13+AO13+AQ13+AS13+AU13+AW13</f>
        <v>0</v>
      </c>
    </row>
    <row r="14" spans="1:59" ht="21" customHeight="1" x14ac:dyDescent="0.2">
      <c r="A14" s="68">
        <v>2</v>
      </c>
      <c r="B14" s="68" t="s">
        <v>30</v>
      </c>
      <c r="C14" s="72"/>
      <c r="D14" s="72"/>
      <c r="E14" s="72"/>
      <c r="F14" s="85"/>
      <c r="G14" s="72"/>
      <c r="H14" s="85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3"/>
      <c r="BA14" s="86"/>
    </row>
    <row r="15" spans="1:59" ht="27.75" customHeight="1" thickBot="1" x14ac:dyDescent="0.25">
      <c r="A15" s="62">
        <v>3</v>
      </c>
      <c r="B15" s="63" t="s">
        <v>19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2">
        <f>C15+E15+G15+I15+K15+M15+O15+Q15+S15+U15</f>
        <v>0</v>
      </c>
    </row>
    <row r="16" spans="1:59" ht="21" customHeight="1" thickBot="1" x14ac:dyDescent="0.25">
      <c r="A16" s="75"/>
      <c r="B16" s="76" t="s">
        <v>20</v>
      </c>
      <c r="C16" s="77">
        <f t="shared" ref="C16:BC16" si="3">C11+C12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  <c r="H16" s="77">
        <f t="shared" si="3"/>
        <v>0</v>
      </c>
      <c r="I16" s="77">
        <f t="shared" si="3"/>
        <v>0</v>
      </c>
      <c r="J16" s="77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77">
        <f t="shared" si="3"/>
        <v>0</v>
      </c>
      <c r="O16" s="77">
        <f t="shared" si="3"/>
        <v>0</v>
      </c>
      <c r="P16" s="77">
        <f t="shared" si="3"/>
        <v>0</v>
      </c>
      <c r="Q16" s="77">
        <f t="shared" si="3"/>
        <v>0</v>
      </c>
      <c r="R16" s="77">
        <f t="shared" si="3"/>
        <v>0</v>
      </c>
      <c r="S16" s="77">
        <f t="shared" si="3"/>
        <v>0</v>
      </c>
      <c r="T16" s="77">
        <f t="shared" si="3"/>
        <v>0</v>
      </c>
      <c r="U16" s="77">
        <f t="shared" si="3"/>
        <v>0</v>
      </c>
      <c r="V16" s="77">
        <f t="shared" si="3"/>
        <v>0</v>
      </c>
      <c r="W16" s="77">
        <f t="shared" si="3"/>
        <v>0</v>
      </c>
      <c r="X16" s="77">
        <f t="shared" si="3"/>
        <v>0</v>
      </c>
      <c r="Y16" s="77">
        <f t="shared" si="3"/>
        <v>0</v>
      </c>
      <c r="Z16" s="77">
        <f t="shared" si="3"/>
        <v>0</v>
      </c>
      <c r="AA16" s="77">
        <f t="shared" si="3"/>
        <v>0</v>
      </c>
      <c r="AB16" s="77">
        <f t="shared" si="3"/>
        <v>0</v>
      </c>
      <c r="AC16" s="77">
        <f t="shared" si="3"/>
        <v>0</v>
      </c>
      <c r="AD16" s="77">
        <f t="shared" si="3"/>
        <v>0</v>
      </c>
      <c r="AE16" s="77">
        <f t="shared" si="3"/>
        <v>0</v>
      </c>
      <c r="AF16" s="77">
        <f t="shared" si="3"/>
        <v>0</v>
      </c>
      <c r="AG16" s="77">
        <f t="shared" si="3"/>
        <v>0</v>
      </c>
      <c r="AH16" s="77">
        <f t="shared" si="3"/>
        <v>0</v>
      </c>
      <c r="AI16" s="77">
        <f t="shared" si="3"/>
        <v>0</v>
      </c>
      <c r="AJ16" s="77">
        <f t="shared" si="3"/>
        <v>0</v>
      </c>
      <c r="AK16" s="77">
        <f t="shared" si="3"/>
        <v>0</v>
      </c>
      <c r="AL16" s="77">
        <f t="shared" si="3"/>
        <v>0</v>
      </c>
      <c r="AM16" s="77">
        <f t="shared" si="3"/>
        <v>0</v>
      </c>
      <c r="AN16" s="77">
        <f t="shared" si="3"/>
        <v>0</v>
      </c>
      <c r="AO16" s="77">
        <f t="shared" si="3"/>
        <v>0</v>
      </c>
      <c r="AP16" s="77">
        <f t="shared" si="3"/>
        <v>0</v>
      </c>
      <c r="AQ16" s="77">
        <f t="shared" si="3"/>
        <v>0</v>
      </c>
      <c r="AR16" s="77">
        <f t="shared" si="3"/>
        <v>0</v>
      </c>
      <c r="AS16" s="77">
        <f t="shared" si="3"/>
        <v>0</v>
      </c>
      <c r="AT16" s="77">
        <f t="shared" si="3"/>
        <v>0</v>
      </c>
      <c r="AU16" s="77">
        <f t="shared" si="3"/>
        <v>0</v>
      </c>
      <c r="AV16" s="77">
        <f t="shared" si="3"/>
        <v>0</v>
      </c>
      <c r="AW16" s="77">
        <f t="shared" si="3"/>
        <v>0</v>
      </c>
      <c r="AX16" s="77">
        <f t="shared" si="3"/>
        <v>0</v>
      </c>
      <c r="AY16" s="77">
        <f>AY11+AY12</f>
        <v>0</v>
      </c>
      <c r="AZ16" s="77">
        <f t="shared" si="3"/>
        <v>0</v>
      </c>
      <c r="BA16" s="77">
        <f t="shared" si="3"/>
        <v>0</v>
      </c>
      <c r="BB16" s="77">
        <f t="shared" si="3"/>
        <v>0</v>
      </c>
      <c r="BC16" s="77">
        <f t="shared" si="3"/>
        <v>0</v>
      </c>
    </row>
    <row r="17" spans="1:52" ht="21.75" customHeight="1" thickBot="1" x14ac:dyDescent="0.25">
      <c r="A17" s="75"/>
      <c r="B17" s="76" t="s">
        <v>23</v>
      </c>
      <c r="C17" s="77">
        <f t="shared" ref="C17:AX17" si="4">C10+C16</f>
        <v>5663802</v>
      </c>
      <c r="D17" s="77">
        <f>D10+D16</f>
        <v>350000</v>
      </c>
      <c r="E17" s="77">
        <f t="shared" si="4"/>
        <v>7904148</v>
      </c>
      <c r="F17" s="77">
        <f t="shared" si="4"/>
        <v>600000</v>
      </c>
      <c r="G17" s="77">
        <f t="shared" si="4"/>
        <v>2537127</v>
      </c>
      <c r="H17" s="77">
        <f t="shared" si="4"/>
        <v>564000</v>
      </c>
      <c r="I17" s="77">
        <f t="shared" si="4"/>
        <v>2674096</v>
      </c>
      <c r="J17" s="77">
        <f t="shared" si="4"/>
        <v>660000</v>
      </c>
      <c r="K17" s="77">
        <f t="shared" si="4"/>
        <v>3020520</v>
      </c>
      <c r="L17" s="77">
        <f t="shared" si="4"/>
        <v>530000</v>
      </c>
      <c r="M17" s="77">
        <f t="shared" si="4"/>
        <v>3010520</v>
      </c>
      <c r="N17" s="77">
        <f t="shared" si="4"/>
        <v>405500</v>
      </c>
      <c r="O17" s="77">
        <f t="shared" si="4"/>
        <v>2354525</v>
      </c>
      <c r="P17" s="77">
        <f t="shared" si="4"/>
        <v>222500</v>
      </c>
      <c r="Q17" s="77">
        <f t="shared" si="4"/>
        <v>1755378</v>
      </c>
      <c r="R17" s="77">
        <f t="shared" si="4"/>
        <v>185500</v>
      </c>
      <c r="S17" s="77">
        <f t="shared" si="4"/>
        <v>2007920</v>
      </c>
      <c r="T17" s="77">
        <f t="shared" si="4"/>
        <v>140500</v>
      </c>
      <c r="U17" s="77">
        <f t="shared" si="4"/>
        <v>810920</v>
      </c>
      <c r="V17" s="77">
        <f t="shared" si="4"/>
        <v>93500</v>
      </c>
      <c r="W17" s="77">
        <f t="shared" si="4"/>
        <v>0</v>
      </c>
      <c r="X17" s="77">
        <f t="shared" si="4"/>
        <v>0</v>
      </c>
      <c r="Y17" s="77">
        <f t="shared" si="4"/>
        <v>0</v>
      </c>
      <c r="Z17" s="77">
        <f t="shared" si="4"/>
        <v>0</v>
      </c>
      <c r="AA17" s="77">
        <f t="shared" si="4"/>
        <v>0</v>
      </c>
      <c r="AB17" s="77">
        <f t="shared" si="4"/>
        <v>0</v>
      </c>
      <c r="AC17" s="77">
        <f t="shared" si="4"/>
        <v>0</v>
      </c>
      <c r="AD17" s="77">
        <f t="shared" si="4"/>
        <v>0</v>
      </c>
      <c r="AE17" s="77">
        <f t="shared" si="4"/>
        <v>0</v>
      </c>
      <c r="AF17" s="77">
        <f t="shared" si="4"/>
        <v>0</v>
      </c>
      <c r="AG17" s="77">
        <f t="shared" si="4"/>
        <v>0</v>
      </c>
      <c r="AH17" s="77">
        <f t="shared" si="4"/>
        <v>0</v>
      </c>
      <c r="AI17" s="77">
        <f t="shared" si="4"/>
        <v>297920</v>
      </c>
      <c r="AJ17" s="77">
        <f t="shared" si="4"/>
        <v>55500</v>
      </c>
      <c r="AK17" s="77">
        <f t="shared" si="4"/>
        <v>308250</v>
      </c>
      <c r="AL17" s="77">
        <f t="shared" si="4"/>
        <v>27500</v>
      </c>
      <c r="AM17" s="77">
        <f t="shared" si="4"/>
        <v>201920</v>
      </c>
      <c r="AN17" s="77">
        <f t="shared" si="4"/>
        <v>14500</v>
      </c>
      <c r="AO17" s="77">
        <f t="shared" si="4"/>
        <v>101920</v>
      </c>
      <c r="AP17" s="77">
        <f t="shared" si="4"/>
        <v>11500</v>
      </c>
      <c r="AQ17" s="77">
        <f t="shared" si="4"/>
        <v>101920</v>
      </c>
      <c r="AR17" s="77">
        <f t="shared" si="4"/>
        <v>8500</v>
      </c>
      <c r="AS17" s="77">
        <f t="shared" si="4"/>
        <v>101920</v>
      </c>
      <c r="AT17" s="77">
        <f t="shared" si="4"/>
        <v>5500</v>
      </c>
      <c r="AU17" s="77">
        <f t="shared" si="4"/>
        <v>101920</v>
      </c>
      <c r="AV17" s="77">
        <f t="shared" si="4"/>
        <v>2500</v>
      </c>
      <c r="AW17" s="77">
        <v>76440</v>
      </c>
      <c r="AX17" s="77">
        <f t="shared" si="4"/>
        <v>500</v>
      </c>
      <c r="AY17" s="81">
        <f>C17+E17+G17+I17+K17+M17+O17+Q17+S17+U17++AI17+AK17+AM17+AO17+AQ17+AS17+AU17+AW17</f>
        <v>33031166</v>
      </c>
      <c r="AZ17" s="73">
        <f>E17+G17+I17+K17+M17+O17+Q17+S17+U17+AI17+AK17+AM17+AO17+AQ17+AS17+AU17+AW17</f>
        <v>27367364</v>
      </c>
    </row>
    <row r="20" spans="1:52" x14ac:dyDescent="0.2">
      <c r="B20" s="64" t="s">
        <v>31</v>
      </c>
    </row>
    <row r="21" spans="1:52" x14ac:dyDescent="0.2">
      <c r="AJ21" s="64" t="s">
        <v>83</v>
      </c>
      <c r="AL21" s="104">
        <v>12096310</v>
      </c>
      <c r="AM21" s="104"/>
      <c r="AN21" s="104">
        <v>5077519</v>
      </c>
      <c r="AO21" s="104"/>
      <c r="AP21" s="104">
        <v>500000</v>
      </c>
      <c r="AQ21" s="104"/>
      <c r="AS21" s="104">
        <f>AL21+AN21+AP21</f>
        <v>17673829</v>
      </c>
      <c r="AT21" s="104"/>
    </row>
    <row r="22" spans="1:52" x14ac:dyDescent="0.2">
      <c r="AL22" s="87"/>
      <c r="AM22" s="87"/>
      <c r="AN22" s="87"/>
      <c r="AO22" s="87"/>
      <c r="AP22" s="87"/>
    </row>
    <row r="23" spans="1:52" x14ac:dyDescent="0.2">
      <c r="AL23" s="87"/>
      <c r="AM23" s="87"/>
      <c r="AN23" s="87"/>
      <c r="AO23" s="87"/>
      <c r="AP23" s="87"/>
    </row>
    <row r="24" spans="1:52" x14ac:dyDescent="0.2">
      <c r="T24" s="64" t="s">
        <v>84</v>
      </c>
      <c r="AL24" s="87"/>
      <c r="AM24" s="87"/>
      <c r="AN24" s="87"/>
      <c r="AO24" s="87"/>
      <c r="AP24" s="87"/>
    </row>
    <row r="26" spans="1:52" x14ac:dyDescent="0.2">
      <c r="U26" s="64">
        <v>2012</v>
      </c>
      <c r="V26" s="99">
        <v>88103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</row>
    <row r="27" spans="1:52" x14ac:dyDescent="0.2">
      <c r="U27" s="64">
        <v>2013</v>
      </c>
      <c r="V27" s="99">
        <v>50000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</row>
    <row r="28" spans="1:52" x14ac:dyDescent="0.2">
      <c r="U28" s="64">
        <v>2014</v>
      </c>
      <c r="V28" s="99">
        <v>300000</v>
      </c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</row>
    <row r="29" spans="1:52" x14ac:dyDescent="0.2">
      <c r="U29" s="64">
        <v>2015</v>
      </c>
      <c r="V29" s="99">
        <v>450000</v>
      </c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52" x14ac:dyDescent="0.2">
      <c r="U30" s="64">
        <v>2016</v>
      </c>
      <c r="V30" s="99">
        <v>500000</v>
      </c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</row>
    <row r="31" spans="1:52" x14ac:dyDescent="0.2">
      <c r="U31" s="64">
        <v>2017</v>
      </c>
      <c r="V31" s="99">
        <v>300000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</row>
    <row r="32" spans="1:52" x14ac:dyDescent="0.2">
      <c r="V32" s="99">
        <f>V26+V27+V28+V29+V30+V31</f>
        <v>1688103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</row>
    <row r="33" spans="22:22" x14ac:dyDescent="0.2">
      <c r="V33" s="87"/>
    </row>
    <row r="34" spans="22:22" x14ac:dyDescent="0.2">
      <c r="V34" s="87"/>
    </row>
    <row r="35" spans="22:22" x14ac:dyDescent="0.2">
      <c r="V35" s="87"/>
    </row>
    <row r="36" spans="22:22" x14ac:dyDescent="0.2">
      <c r="V36" s="87"/>
    </row>
    <row r="37" spans="22:22" x14ac:dyDescent="0.2">
      <c r="V37" s="87"/>
    </row>
  </sheetData>
  <mergeCells count="39">
    <mergeCell ref="AP21:AQ21"/>
    <mergeCell ref="AS21:AT21"/>
    <mergeCell ref="B4:B5"/>
    <mergeCell ref="AI4:AJ4"/>
    <mergeCell ref="K4:L4"/>
    <mergeCell ref="M4:N4"/>
    <mergeCell ref="O4:P4"/>
    <mergeCell ref="W4:X4"/>
    <mergeCell ref="AK4:AL4"/>
    <mergeCell ref="AM4:AN4"/>
    <mergeCell ref="AL21:AM21"/>
    <mergeCell ref="AN21:AO21"/>
    <mergeCell ref="V27:AI27"/>
    <mergeCell ref="V26:AI26"/>
    <mergeCell ref="A4:A5"/>
    <mergeCell ref="C4:D4"/>
    <mergeCell ref="E4:F4"/>
    <mergeCell ref="I4:J4"/>
    <mergeCell ref="G4:H4"/>
    <mergeCell ref="AA4:AB4"/>
    <mergeCell ref="AC4:AD4"/>
    <mergeCell ref="AE4:AF4"/>
    <mergeCell ref="AW4:AX4"/>
    <mergeCell ref="AO4:AP4"/>
    <mergeCell ref="AQ4:AR4"/>
    <mergeCell ref="AS4:AT4"/>
    <mergeCell ref="AU4:AV4"/>
    <mergeCell ref="K1:M1"/>
    <mergeCell ref="Q4:R4"/>
    <mergeCell ref="AG4:AH4"/>
    <mergeCell ref="S4:T4"/>
    <mergeCell ref="U4:V4"/>
    <mergeCell ref="Z1:AH1"/>
    <mergeCell ref="Y4:Z4"/>
    <mergeCell ref="V30:AI30"/>
    <mergeCell ref="V31:AI31"/>
    <mergeCell ref="V32:AI32"/>
    <mergeCell ref="V28:AI28"/>
    <mergeCell ref="V29:AI29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D49" sqref="D48:F49"/>
    </sheetView>
  </sheetViews>
  <sheetFormatPr defaultRowHeight="12.75" x14ac:dyDescent="0.2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Przepływy</vt:lpstr>
      <vt:lpstr>Harmonogram</vt:lpstr>
      <vt:lpstr>Informacja dodatkowa</vt:lpstr>
      <vt:lpstr>Harmonogram!Obszar_wydruku</vt:lpstr>
      <vt:lpstr>Przepływy!Obszar_wydruku</vt:lpstr>
      <vt:lpstr>Harmonogram!Tytuły_wydruku</vt:lpstr>
      <vt:lpstr>Przepływy!Tytuły_wydruku</vt:lpstr>
    </vt:vector>
  </TitlesOfParts>
  <Company>Izba Obrachunkowa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Jolanta Bieda</cp:lastModifiedBy>
  <cp:lastPrinted>2012-01-05T12:38:48Z</cp:lastPrinted>
  <dcterms:created xsi:type="dcterms:W3CDTF">2005-10-07T10:26:29Z</dcterms:created>
  <dcterms:modified xsi:type="dcterms:W3CDTF">2012-01-05T12:40:03Z</dcterms:modified>
</cp:coreProperties>
</file>