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tabRatio="384" activeTab="1"/>
  </bookViews>
  <sheets>
    <sheet name="Informacja dodatkowa" sheetId="1" r:id="rId1"/>
    <sheet name="Przepływy" sheetId="2" r:id="rId2"/>
    <sheet name="Harmonogram" sheetId="3" r:id="rId3"/>
  </sheets>
  <definedNames>
    <definedName name="_xlnm.Print_Area" localSheetId="2">'Harmonogram'!$A$2:$AX$17</definedName>
    <definedName name="_xlnm.Print_Area" localSheetId="1">'Przepływy'!$A$1:$V$55</definedName>
    <definedName name="_xlnm.Print_Titles" localSheetId="2">'Harmonogram'!$A:$B</definedName>
    <definedName name="_xlnm.Print_Titles" localSheetId="1">'Przepływy'!$6:$7</definedName>
  </definedNames>
  <calcPr fullCalcOnLoad="1"/>
</workbook>
</file>

<file path=xl/sharedStrings.xml><?xml version="1.0" encoding="utf-8"?>
<sst xmlns="http://schemas.openxmlformats.org/spreadsheetml/2006/main" count="215" uniqueCount="121">
  <si>
    <t>Wyszczególnienie</t>
  </si>
  <si>
    <t xml:space="preserve"> - prywatyzacji majątku</t>
  </si>
  <si>
    <t xml:space="preserve"> - nadwyżki budżetu</t>
  </si>
  <si>
    <t xml:space="preserve"> - wolnych środków</t>
  </si>
  <si>
    <t>Podpis Skarbnika</t>
  </si>
  <si>
    <t xml:space="preserve">      Podpis Wójta, Burmistrza, Prezydenta, Przewodniczącego Zarządu</t>
  </si>
  <si>
    <t>Miejscowość i data sporządzenia</t>
  </si>
  <si>
    <t xml:space="preserve"> - odsetki i dyskonto od wyemitowanych papierów wartościowych</t>
  </si>
  <si>
    <t>4. Wydatki bieżące</t>
  </si>
  <si>
    <t>IV. Rozchody ogółem</t>
  </si>
  <si>
    <t xml:space="preserve"> - wykup wyemitowanych papierów wartościowych</t>
  </si>
  <si>
    <t>II. Ogółem wydatki (4+5)</t>
  </si>
  <si>
    <t>Wynik finansowy (I-II)</t>
  </si>
  <si>
    <t xml:space="preserve">III. Przychody ogółem </t>
  </si>
  <si>
    <t xml:space="preserve"> - kredytu(ów) *</t>
  </si>
  <si>
    <t xml:space="preserve"> - pożyczki(ek) *</t>
  </si>
  <si>
    <t xml:space="preserve"> - spłata pożyczki(ek) udzielonej(ych) *</t>
  </si>
  <si>
    <t xml:space="preserve"> - wnioskowany kredyt, pożyczka</t>
  </si>
  <si>
    <t>raty</t>
  </si>
  <si>
    <t>odsetki</t>
  </si>
  <si>
    <t>Rok 2010</t>
  </si>
  <si>
    <t>Zadłużenie</t>
  </si>
  <si>
    <t>wykup wyemitowanych papierów wartościowych</t>
  </si>
  <si>
    <t>Razem</t>
  </si>
  <si>
    <t>Lp.</t>
  </si>
  <si>
    <t>Wnioskowane do zaciągnięcia zobowiązania 
w tym:</t>
  </si>
  <si>
    <t>Ogółem</t>
  </si>
  <si>
    <t>Harmonogram spłat kredytów i pożyczek</t>
  </si>
  <si>
    <t>Załącznik Nr 2 
do wniosku o wydanie opinii</t>
  </si>
  <si>
    <t>I</t>
  </si>
  <si>
    <t>II</t>
  </si>
  <si>
    <t>Dotychczas zaciągnięte zobowiązania w tym:</t>
  </si>
  <si>
    <t>kredyt / kredyty *</t>
  </si>
  <si>
    <t>pożyczka / pożyczki *</t>
  </si>
  <si>
    <t>* niewłaściwe skreślić</t>
  </si>
  <si>
    <t>*  -  niepotrzebne skreślić</t>
  </si>
  <si>
    <t xml:space="preserve">Planowane do zaciągnięcia zobowiązania </t>
  </si>
  <si>
    <t>III</t>
  </si>
  <si>
    <t>Rok 2011</t>
  </si>
  <si>
    <t>Rok 2012</t>
  </si>
  <si>
    <t>Rok 2013</t>
  </si>
  <si>
    <t>Rok 2014</t>
  </si>
  <si>
    <t>Rok 2015</t>
  </si>
  <si>
    <t>Rok 2016</t>
  </si>
  <si>
    <t>Rok 2017</t>
  </si>
  <si>
    <t>Rok 2018</t>
  </si>
  <si>
    <t>x</t>
  </si>
  <si>
    <t>w tym:  - ze sprzedaży papierów wartościowych</t>
  </si>
  <si>
    <t xml:space="preserve">w tym:  - raty spłat kredytu(ów) * i pożyczki(ek) * </t>
  </si>
  <si>
    <t xml:space="preserve">5. Wydatki majątkowe </t>
  </si>
  <si>
    <t xml:space="preserve">Wynik operacyjny brutto =
dochody bieżące - wydatki bieżące </t>
  </si>
  <si>
    <t>Wskaźnik pokrycia wydatków bieżących =                                                                  Dochody bieżące / Wydatki bieżące</t>
  </si>
  <si>
    <t>Rok 2019</t>
  </si>
  <si>
    <t>Rok 2020</t>
  </si>
  <si>
    <t>Rok 2021</t>
  </si>
  <si>
    <t>Rok 2022</t>
  </si>
  <si>
    <t>Rok 2023</t>
  </si>
  <si>
    <t>Rok 2024</t>
  </si>
  <si>
    <t>1.Dochody bieżące z tego:</t>
  </si>
  <si>
    <t>1.2. Subwencja z budżetu państwa</t>
  </si>
  <si>
    <t>1.3. Dotacje celowe na zadania bieżące</t>
  </si>
  <si>
    <t>2.Dochody majątkowe z tego:</t>
  </si>
  <si>
    <t>1.4. środki unijne i inne zagr. na zadania bież.</t>
  </si>
  <si>
    <t>2.1. dochody z majątku</t>
  </si>
  <si>
    <t>2.2. dotacje na inwestycje</t>
  </si>
  <si>
    <t>2.3 Środki unijne i inne zagraniczne na inwest.</t>
  </si>
  <si>
    <t>I. Ogółem dochody (1+2)</t>
  </si>
  <si>
    <t xml:space="preserve">1.1. Dochody własne razem z udziałami w podatkach stanowiących dochód budżetu państwa </t>
  </si>
  <si>
    <t>tel kontaktowy:</t>
  </si>
  <si>
    <t>Informacja dodatkowa</t>
  </si>
  <si>
    <t>Kwota</t>
  </si>
  <si>
    <t>Numer decyzji</t>
  </si>
  <si>
    <t>Wyjaśnienie</t>
  </si>
  <si>
    <r>
      <t xml:space="preserve">emisji  papierów  wartościowych,  możliwości  spłaty  kredytów  i  pożyczek </t>
    </r>
  </si>
  <si>
    <t xml:space="preserve">        Informacja</t>
  </si>
  <si>
    <t xml:space="preserve">Informuję, że do  dnia wystąpienia z wnioskiem o wydanie  opinii dotyczącej </t>
  </si>
  <si>
    <t>* Niepotrzebne usunąć. W przypadku orzeczenia zwrotu prosimy o wypełnienie poniższej tabeli.</t>
  </si>
  <si>
    <t>Rok 2025</t>
  </si>
  <si>
    <t>Wykonanie        2008 rok</t>
  </si>
  <si>
    <t>V. Zadłużenie ogółem na koniec roku</t>
  </si>
  <si>
    <t>VI. Umorzenia pożyczek</t>
  </si>
  <si>
    <t>IX. Wskaźnik w % liczony wg art. 170 ustawy o finansach publicznych  z dnia 30 czerwca 2005 r. (bez wyłączeń)</t>
  </si>
  <si>
    <t>IX. Wskaźnik w % liczony wg art. 170 ustawy o finansach publicznych z dnia 30 czerwca 2005 r. (z wyłączeniami)</t>
  </si>
  <si>
    <t>XI. Wskaźnik w % liczony wg   art. 169 ustawy o finansach publicznych z dnia 30 czerwca 2005 r. (bez wyłączeń)</t>
  </si>
  <si>
    <t>XI. Wskaźnik w % liczony wg   art. 169 ustawy o finansach publicznych z dnia 30 czerwca 2005 r.  (z wyłączeniami)</t>
  </si>
  <si>
    <t>Relacja z art. 242 ustawy o finansach publicznych z 27 sierpnia 2009 r.</t>
  </si>
  <si>
    <t>Relacja z art.243 ustawy o finansach publicznych z 27 sierpnia 2009 r. (lewa strona wzoru)</t>
  </si>
  <si>
    <t>Relacja z art.243 ustawy o finansach publicznych z 27 sierpnia 2009 r. (prawa strona wzoru)</t>
  </si>
  <si>
    <t>Sprawdzenie  relacji zadanej wzorem  z art.243 ustawy o finansach publicznych z 27 sierpnia 2009 r. (TAK/NIE)</t>
  </si>
  <si>
    <t>Równowaga budżetowa</t>
  </si>
  <si>
    <t xml:space="preserve">zwrot środków o których mowa w art.5 ust.1 pkt 2 ustawy o finansach publicznych </t>
  </si>
  <si>
    <t>z dnia 27 sierpnia 2009 r.(Dz.U z 2009 r.Nr 157, poz.1240)</t>
  </si>
  <si>
    <t>Wykonanie         2009 rok</t>
  </si>
  <si>
    <t xml:space="preserve"> - pozostałe rozchody (udzielenie pożyczki)</t>
  </si>
  <si>
    <t>Halina Paruzel-Tkacz</t>
  </si>
  <si>
    <t>34 328-11-22 w.108</t>
  </si>
  <si>
    <t>Wójt Gminy Adam Zając</t>
  </si>
  <si>
    <t>Rok 2026</t>
  </si>
  <si>
    <t>Rok 2027</t>
  </si>
  <si>
    <t>`</t>
  </si>
  <si>
    <t>w tym: dochody ze sprzedaży majątku  (§ 077, 078, 087)</t>
  </si>
  <si>
    <t>Wykonanie             2007 rok</t>
  </si>
  <si>
    <r>
      <t xml:space="preserve">  nie został*</t>
    </r>
    <r>
      <rPr>
        <sz val="10"/>
        <rFont val="Arial CE"/>
        <family val="0"/>
      </rPr>
      <t xml:space="preserve"> orzeczony</t>
    </r>
  </si>
  <si>
    <t>Kłomnice, 25.10.2010</t>
  </si>
  <si>
    <t>stan 31.10.2010</t>
  </si>
  <si>
    <t xml:space="preserve"> Prognoza kwoty długu na lata 2011–2027</t>
  </si>
  <si>
    <t>Plan po 3 kw. 2010</t>
  </si>
  <si>
    <t>dodatkowo 1 688 103,00</t>
  </si>
  <si>
    <t xml:space="preserve">Załącznik nr 2 do uchwały w sprawie WPF </t>
  </si>
  <si>
    <t>X</t>
  </si>
  <si>
    <r>
      <t xml:space="preserve">w tym </t>
    </r>
    <r>
      <rPr>
        <b/>
        <vertAlign val="superscript"/>
        <sz val="18"/>
        <rFont val="Times New Roman"/>
        <family val="1"/>
      </rPr>
      <t>*1</t>
    </r>
    <r>
      <rPr>
        <b/>
        <sz val="18"/>
        <rFont val="Times New Roman"/>
        <family val="1"/>
      </rPr>
      <t>: - potencjalne spłaty poręczenia(eń) *</t>
    </r>
    <r>
      <rPr>
        <b/>
        <vertAlign val="superscript"/>
        <sz val="18"/>
        <rFont val="Times New Roman"/>
        <family val="1"/>
      </rPr>
      <t xml:space="preserve">   </t>
    </r>
    <r>
      <rPr>
        <b/>
        <sz val="18"/>
        <rFont val="Times New Roman"/>
        <family val="1"/>
      </rPr>
      <t>wraz z odsetkami</t>
    </r>
  </si>
  <si>
    <r>
      <t xml:space="preserve"> - odsetki od kredytu(ów) * i pożyczki(ek) *</t>
    </r>
    <r>
      <rPr>
        <b/>
        <vertAlign val="superscript"/>
        <sz val="18"/>
        <rFont val="Times New Roman"/>
        <family val="1"/>
      </rPr>
      <t>2</t>
    </r>
  </si>
  <si>
    <r>
      <t xml:space="preserve">VII Zobowiązania wymagalne                                </t>
    </r>
    <r>
      <rPr>
        <b/>
        <i/>
        <sz val="18"/>
        <rFont val="Times New Roman"/>
        <family val="1"/>
      </rPr>
      <t>(na dzień sporządzenia przepływów)</t>
    </r>
  </si>
  <si>
    <r>
      <t>VIII. Umowy o terminie platności dłuższym niż 6 m-cy (łącznie z leasingiem)*</t>
    </r>
    <r>
      <rPr>
        <b/>
        <vertAlign val="superscript"/>
        <sz val="18"/>
        <rFont val="Times New Roman"/>
        <family val="1"/>
      </rPr>
      <t>3</t>
    </r>
  </si>
  <si>
    <r>
      <t>X. Wyłączenia na podstawie art. 170 ust. 3 ustawy o finansach publicznych z dnia 30 czerwca 2005 r.*</t>
    </r>
    <r>
      <rPr>
        <b/>
        <vertAlign val="superscript"/>
        <sz val="18"/>
        <rFont val="Times New Roman"/>
        <family val="1"/>
      </rPr>
      <t xml:space="preserve">4 </t>
    </r>
  </si>
  <si>
    <r>
      <t>XII. Wyłączenia na podstawie art. 169 ust. 3 ustawy o finansach publicznych z dnia 30 czerwca 2005 r. (raty i odsetki)*</t>
    </r>
    <r>
      <rPr>
        <b/>
        <vertAlign val="superscript"/>
        <sz val="18"/>
        <rFont val="Times New Roman"/>
        <family val="1"/>
      </rPr>
      <t>5</t>
    </r>
    <r>
      <rPr>
        <b/>
        <sz val="18"/>
        <rFont val="Times New Roman"/>
        <family val="1"/>
      </rPr>
      <t xml:space="preserve"> i art.243 ustawy  o finansach publ. z 27 sierpnia 2009 r.(od 2014 r.)</t>
    </r>
  </si>
  <si>
    <r>
      <t>*</t>
    </r>
    <r>
      <rPr>
        <b/>
        <vertAlign val="super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 - jeżeli jednostka samorządu terytorialnego nie udzielała poręczeń, w objaśnieniach, wpisać informację że: "j.s.t. nie udzielała poręczeń"</t>
    </r>
  </si>
  <si>
    <r>
      <t>*</t>
    </r>
    <r>
      <rPr>
        <b/>
        <vertAlign val="superscript"/>
        <sz val="18"/>
        <rFont val="Times New Roman"/>
        <family val="1"/>
      </rPr>
      <t>2</t>
    </r>
    <r>
      <rPr>
        <b/>
        <sz val="18"/>
        <rFont val="Times New Roman"/>
        <family val="1"/>
      </rPr>
      <t xml:space="preserve"> - wraz z odsetkami od realizowanych inwestycji</t>
    </r>
  </si>
  <si>
    <r>
      <t>*</t>
    </r>
    <r>
      <rPr>
        <b/>
        <vertAlign val="superscript"/>
        <sz val="18"/>
        <rFont val="Times New Roman"/>
        <family val="1"/>
      </rPr>
      <t>3</t>
    </r>
    <r>
      <rPr>
        <b/>
        <sz val="18"/>
        <rFont val="Times New Roman"/>
        <family val="1"/>
      </rPr>
      <t xml:space="preserve"> - aktualne na dzień sporządzenia przepływów</t>
    </r>
  </si>
  <si>
    <r>
      <t>*</t>
    </r>
    <r>
      <rPr>
        <b/>
        <vertAlign val="superscript"/>
        <sz val="18"/>
        <rFont val="Times New Roman"/>
        <family val="1"/>
      </rPr>
      <t xml:space="preserve">4 </t>
    </r>
    <r>
      <rPr>
        <b/>
        <sz val="18"/>
        <rFont val="Times New Roman"/>
        <family val="1"/>
      </rPr>
      <t>-</t>
    </r>
    <r>
      <rPr>
        <b/>
        <vertAlign val="superscript"/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objaśnić</t>
    </r>
  </si>
  <si>
    <r>
      <t>*</t>
    </r>
    <r>
      <rPr>
        <b/>
        <vertAlign val="superscript"/>
        <sz val="18"/>
        <rFont val="Times New Roman"/>
        <family val="1"/>
      </rPr>
      <t>5</t>
    </r>
    <r>
      <rPr>
        <b/>
        <sz val="18"/>
        <rFont val="Times New Roman"/>
        <family val="1"/>
      </rPr>
      <t xml:space="preserve"> - objaśnić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</si>
</sst>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#,##0.0000"/>
  </numFmts>
  <fonts count="40">
    <font>
      <sz val="10"/>
      <name val="Arial CE"/>
      <family val="0"/>
    </font>
    <font>
      <vertAlign val="superscript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 CE"/>
      <family val="0"/>
    </font>
    <font>
      <b/>
      <sz val="10"/>
      <color indexed="6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18"/>
      <color indexed="9"/>
      <name val="Times New Roman"/>
      <family val="1"/>
    </font>
    <font>
      <b/>
      <vertAlign val="superscript"/>
      <sz val="18"/>
      <name val="Times New Roman"/>
      <family val="1"/>
    </font>
    <font>
      <b/>
      <sz val="18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42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7" borderId="1" applyNumberFormat="0" applyAlignment="0" applyProtection="0"/>
    <xf numFmtId="0" fontId="20" fillId="14" borderId="2" applyNumberFormat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16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28" fillId="1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0" fillId="18" borderId="16" xfId="0" applyFont="1" applyFill="1" applyBorder="1" applyAlignment="1">
      <alignment/>
    </xf>
    <xf numFmtId="0" fontId="10" fillId="18" borderId="17" xfId="0" applyFont="1" applyFill="1" applyBorder="1" applyAlignment="1">
      <alignment/>
    </xf>
    <xf numFmtId="3" fontId="10" fillId="18" borderId="17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Alignment="1">
      <alignment wrapText="1"/>
    </xf>
    <xf numFmtId="0" fontId="10" fillId="6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3" fontId="10" fillId="0" borderId="18" xfId="0" applyNumberFormat="1" applyFont="1" applyBorder="1" applyAlignment="1" applyProtection="1">
      <alignment horizontal="right"/>
      <protection locked="0"/>
    </xf>
    <xf numFmtId="0" fontId="10" fillId="0" borderId="18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3" fontId="10" fillId="0" borderId="10" xfId="0" applyNumberFormat="1" applyFont="1" applyBorder="1" applyAlignment="1" applyProtection="1">
      <alignment horizontal="right"/>
      <protection locked="0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wrapText="1"/>
    </xf>
    <xf numFmtId="3" fontId="10" fillId="0" borderId="20" xfId="0" applyNumberFormat="1" applyFont="1" applyFill="1" applyBorder="1" applyAlignment="1" applyProtection="1">
      <alignment horizontal="right"/>
      <protection locked="0"/>
    </xf>
    <xf numFmtId="3" fontId="15" fillId="0" borderId="18" xfId="0" applyNumberFormat="1" applyFont="1" applyBorder="1" applyAlignment="1" applyProtection="1">
      <alignment horizontal="right"/>
      <protection locked="0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3" fontId="10" fillId="0" borderId="15" xfId="0" applyNumberFormat="1" applyFont="1" applyBorder="1" applyAlignment="1" applyProtection="1">
      <alignment horizontal="right"/>
      <protection locked="0"/>
    </xf>
    <xf numFmtId="3" fontId="16" fillId="0" borderId="18" xfId="0" applyNumberFormat="1" applyFont="1" applyBorder="1" applyAlignment="1" applyProtection="1">
      <alignment horizontal="right"/>
      <protection locked="0"/>
    </xf>
    <xf numFmtId="3" fontId="15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3" fontId="10" fillId="0" borderId="17" xfId="0" applyNumberFormat="1" applyFont="1" applyFill="1" applyBorder="1" applyAlignment="1">
      <alignment horizontal="right"/>
    </xf>
    <xf numFmtId="3" fontId="15" fillId="0" borderId="18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0" fontId="35" fillId="0" borderId="0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 vertical="top"/>
    </xf>
    <xf numFmtId="4" fontId="10" fillId="0" borderId="0" xfId="0" applyNumberFormat="1" applyFont="1" applyAlignment="1">
      <alignment horizontal="right"/>
    </xf>
    <xf numFmtId="0" fontId="14" fillId="0" borderId="0" xfId="0" applyFont="1" applyAlignment="1">
      <alignment horizontal="center" wrapText="1"/>
    </xf>
    <xf numFmtId="0" fontId="10" fillId="6" borderId="18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10" fillId="6" borderId="21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/>
    </xf>
    <xf numFmtId="4" fontId="10" fillId="0" borderId="0" xfId="0" applyNumberFormat="1" applyFont="1" applyAlignment="1">
      <alignment horizontal="center"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/>
    </xf>
    <xf numFmtId="3" fontId="37" fillId="0" borderId="0" xfId="0" applyNumberFormat="1" applyFont="1" applyFill="1" applyAlignment="1">
      <alignment/>
    </xf>
    <xf numFmtId="0" fontId="35" fillId="0" borderId="0" xfId="0" applyFont="1" applyFill="1" applyAlignment="1">
      <alignment horizontal="left"/>
    </xf>
    <xf numFmtId="0" fontId="36" fillId="0" borderId="0" xfId="0" applyFont="1" applyFill="1" applyAlignment="1">
      <alignment horizontal="right"/>
    </xf>
    <xf numFmtId="0" fontId="35" fillId="0" borderId="10" xfId="0" applyFont="1" applyFill="1" applyBorder="1" applyAlignment="1" applyProtection="1">
      <alignment horizontal="center"/>
      <protection/>
    </xf>
    <xf numFmtId="0" fontId="35" fillId="0" borderId="10" xfId="0" applyFont="1" applyFill="1" applyBorder="1" applyAlignment="1">
      <alignment vertical="center" wrapText="1"/>
    </xf>
    <xf numFmtId="0" fontId="35" fillId="0" borderId="22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15" xfId="0" applyFont="1" applyFill="1" applyBorder="1" applyAlignment="1" applyProtection="1">
      <alignment/>
      <protection/>
    </xf>
    <xf numFmtId="0" fontId="35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vertical="center" wrapText="1"/>
    </xf>
    <xf numFmtId="0" fontId="35" fillId="0" borderId="18" xfId="0" applyFont="1" applyFill="1" applyBorder="1" applyAlignment="1">
      <alignment horizontal="center" vertical="center"/>
    </xf>
    <xf numFmtId="3" fontId="35" fillId="0" borderId="15" xfId="0" applyNumberFormat="1" applyFont="1" applyFill="1" applyBorder="1" applyAlignment="1">
      <alignment horizontal="right" vertical="center"/>
    </xf>
    <xf numFmtId="0" fontId="36" fillId="0" borderId="18" xfId="0" applyFont="1" applyFill="1" applyBorder="1" applyAlignment="1" applyProtection="1">
      <alignment horizontal="left" vertical="center" wrapText="1"/>
      <protection/>
    </xf>
    <xf numFmtId="3" fontId="36" fillId="0" borderId="18" xfId="0" applyNumberFormat="1" applyFont="1" applyFill="1" applyBorder="1" applyAlignment="1" applyProtection="1">
      <alignment vertical="center" wrapText="1"/>
      <protection locked="0"/>
    </xf>
    <xf numFmtId="0" fontId="35" fillId="0" borderId="0" xfId="0" applyFont="1" applyFill="1" applyAlignment="1" applyProtection="1">
      <alignment/>
      <protection locked="0"/>
    </xf>
    <xf numFmtId="0" fontId="36" fillId="0" borderId="18" xfId="0" applyFont="1" applyFill="1" applyBorder="1" applyAlignment="1" applyProtection="1">
      <alignment vertical="center" wrapText="1"/>
      <protection/>
    </xf>
    <xf numFmtId="0" fontId="36" fillId="0" borderId="10" xfId="0" applyFont="1" applyFill="1" applyBorder="1" applyAlignment="1" applyProtection="1">
      <alignment vertical="center" wrapText="1"/>
      <protection/>
    </xf>
    <xf numFmtId="3" fontId="36" fillId="0" borderId="10" xfId="0" applyNumberFormat="1" applyFont="1" applyFill="1" applyBorder="1" applyAlignment="1" applyProtection="1">
      <alignment vertical="center" wrapText="1"/>
      <protection locked="0"/>
    </xf>
    <xf numFmtId="0" fontId="35" fillId="0" borderId="10" xfId="0" applyFont="1" applyFill="1" applyBorder="1" applyAlignment="1" applyProtection="1">
      <alignment vertical="center" wrapText="1"/>
      <protection/>
    </xf>
    <xf numFmtId="3" fontId="35" fillId="0" borderId="10" xfId="0" applyNumberFormat="1" applyFont="1" applyFill="1" applyBorder="1" applyAlignment="1" applyProtection="1">
      <alignment vertical="center" wrapText="1"/>
      <protection/>
    </xf>
    <xf numFmtId="0" fontId="36" fillId="0" borderId="0" xfId="0" applyFont="1" applyFill="1" applyAlignment="1" applyProtection="1">
      <alignment/>
      <protection locked="0"/>
    </xf>
    <xf numFmtId="3" fontId="3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4" xfId="0" applyFont="1" applyFill="1" applyBorder="1" applyAlignment="1" applyProtection="1">
      <alignment vertical="center" wrapText="1"/>
      <protection/>
    </xf>
    <xf numFmtId="3" fontId="35" fillId="0" borderId="24" xfId="0" applyNumberFormat="1" applyFont="1" applyFill="1" applyBorder="1" applyAlignment="1">
      <alignment vertical="center" wrapText="1"/>
    </xf>
    <xf numFmtId="0" fontId="35" fillId="0" borderId="15" xfId="0" applyFont="1" applyFill="1" applyBorder="1" applyAlignment="1" applyProtection="1">
      <alignment vertical="center" wrapText="1"/>
      <protection/>
    </xf>
    <xf numFmtId="3" fontId="35" fillId="0" borderId="15" xfId="0" applyNumberFormat="1" applyFont="1" applyFill="1" applyBorder="1" applyAlignment="1" applyProtection="1">
      <alignment vertical="center" wrapText="1"/>
      <protection locked="0"/>
    </xf>
    <xf numFmtId="0" fontId="35" fillId="0" borderId="25" xfId="0" applyFont="1" applyFill="1" applyBorder="1" applyAlignment="1" applyProtection="1">
      <alignment vertical="center" wrapText="1"/>
      <protection/>
    </xf>
    <xf numFmtId="3" fontId="35" fillId="0" borderId="25" xfId="0" applyNumberFormat="1" applyFont="1" applyFill="1" applyBorder="1" applyAlignment="1" applyProtection="1">
      <alignment vertical="center" wrapText="1"/>
      <protection locked="0"/>
    </xf>
    <xf numFmtId="0" fontId="35" fillId="0" borderId="26" xfId="0" applyFont="1" applyFill="1" applyBorder="1" applyAlignment="1" applyProtection="1">
      <alignment vertical="center" wrapText="1"/>
      <protection/>
    </xf>
    <xf numFmtId="3" fontId="35" fillId="0" borderId="26" xfId="0" applyNumberFormat="1" applyFont="1" applyFill="1" applyBorder="1" applyAlignment="1" applyProtection="1">
      <alignment vertical="center" wrapText="1"/>
      <protection locked="0"/>
    </xf>
    <xf numFmtId="3" fontId="35" fillId="0" borderId="10" xfId="0" applyNumberFormat="1" applyFont="1" applyFill="1" applyBorder="1" applyAlignment="1" applyProtection="1">
      <alignment vertical="center" wrapText="1"/>
      <protection locked="0"/>
    </xf>
    <xf numFmtId="0" fontId="35" fillId="0" borderId="17" xfId="0" applyFont="1" applyFill="1" applyBorder="1" applyAlignment="1" applyProtection="1">
      <alignment vertical="center" wrapText="1"/>
      <protection/>
    </xf>
    <xf numFmtId="3" fontId="35" fillId="0" borderId="17" xfId="0" applyNumberFormat="1" applyFont="1" applyFill="1" applyBorder="1" applyAlignment="1">
      <alignment vertical="center" wrapText="1"/>
    </xf>
    <xf numFmtId="0" fontId="35" fillId="0" borderId="14" xfId="0" applyFont="1" applyFill="1" applyBorder="1" applyAlignment="1" applyProtection="1">
      <alignment vertical="center" wrapText="1"/>
      <protection/>
    </xf>
    <xf numFmtId="3" fontId="35" fillId="0" borderId="14" xfId="0" applyNumberFormat="1" applyFont="1" applyFill="1" applyBorder="1" applyAlignment="1">
      <alignment vertical="center" wrapText="1"/>
    </xf>
    <xf numFmtId="3" fontId="35" fillId="0" borderId="26" xfId="0" applyNumberFormat="1" applyFont="1" applyFill="1" applyBorder="1" applyAlignment="1" applyProtection="1">
      <alignment horizontal="center" vertical="center" wrapText="1"/>
      <protection/>
    </xf>
    <xf numFmtId="3" fontId="35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14" xfId="0" applyNumberFormat="1" applyFont="1" applyFill="1" applyBorder="1" applyAlignment="1" applyProtection="1">
      <alignment vertical="center" wrapText="1"/>
      <protection locked="0"/>
    </xf>
    <xf numFmtId="3" fontId="35" fillId="0" borderId="0" xfId="0" applyNumberFormat="1" applyFont="1" applyFill="1" applyAlignment="1" applyProtection="1">
      <alignment/>
      <protection locked="0"/>
    </xf>
    <xf numFmtId="3" fontId="35" fillId="0" borderId="27" xfId="0" applyNumberFormat="1" applyFont="1" applyFill="1" applyBorder="1" applyAlignment="1" applyProtection="1">
      <alignment vertical="center" wrapText="1"/>
      <protection locked="0"/>
    </xf>
    <xf numFmtId="3" fontId="39" fillId="0" borderId="15" xfId="0" applyNumberFormat="1" applyFont="1" applyFill="1" applyBorder="1" applyAlignment="1" applyProtection="1">
      <alignment horizontal="center" vertical="center" wrapText="1"/>
      <protection/>
    </xf>
    <xf numFmtId="3" fontId="35" fillId="0" borderId="15" xfId="0" applyNumberFormat="1" applyFont="1" applyFill="1" applyBorder="1" applyAlignment="1" applyProtection="1">
      <alignment vertical="center" wrapText="1"/>
      <protection/>
    </xf>
    <xf numFmtId="165" fontId="35" fillId="0" borderId="15" xfId="0" applyNumberFormat="1" applyFont="1" applyFill="1" applyBorder="1" applyAlignment="1" applyProtection="1">
      <alignment vertical="center" wrapText="1"/>
      <protection/>
    </xf>
    <xf numFmtId="0" fontId="35" fillId="0" borderId="18" xfId="0" applyFont="1" applyFill="1" applyBorder="1" applyAlignment="1" applyProtection="1">
      <alignment vertical="center" wrapText="1"/>
      <protection/>
    </xf>
    <xf numFmtId="3" fontId="35" fillId="0" borderId="18" xfId="0" applyNumberFormat="1" applyFont="1" applyFill="1" applyBorder="1" applyAlignment="1" applyProtection="1">
      <alignment vertical="center" wrapText="1"/>
      <protection locked="0"/>
    </xf>
    <xf numFmtId="164" fontId="35" fillId="0" borderId="18" xfId="0" applyNumberFormat="1" applyFont="1" applyFill="1" applyBorder="1" applyAlignment="1">
      <alignment vertical="center" wrapText="1"/>
    </xf>
    <xf numFmtId="164" fontId="35" fillId="0" borderId="18" xfId="0" applyNumberFormat="1" applyFont="1" applyFill="1" applyBorder="1" applyAlignment="1">
      <alignment horizontal="center" vertical="center" wrapText="1"/>
    </xf>
    <xf numFmtId="4" fontId="35" fillId="0" borderId="18" xfId="0" applyNumberFormat="1" applyFont="1" applyFill="1" applyBorder="1" applyAlignment="1">
      <alignment vertical="center" wrapText="1"/>
    </xf>
    <xf numFmtId="4" fontId="35" fillId="0" borderId="0" xfId="0" applyNumberFormat="1" applyFont="1" applyFill="1" applyAlignment="1">
      <alignment/>
    </xf>
    <xf numFmtId="164" fontId="35" fillId="0" borderId="18" xfId="0" applyNumberFormat="1" applyFont="1" applyFill="1" applyBorder="1" applyAlignment="1" applyProtection="1">
      <alignment vertical="center" wrapText="1"/>
      <protection locked="0"/>
    </xf>
    <xf numFmtId="178" fontId="35" fillId="0" borderId="18" xfId="0" applyNumberFormat="1" applyFont="1" applyFill="1" applyBorder="1" applyAlignment="1">
      <alignment vertical="center" wrapText="1"/>
    </xf>
    <xf numFmtId="0" fontId="35" fillId="0" borderId="14" xfId="52" applyFont="1" applyFill="1" applyBorder="1" applyAlignment="1" applyProtection="1">
      <alignment vertical="center" wrapText="1"/>
      <protection/>
    </xf>
    <xf numFmtId="0" fontId="35" fillId="0" borderId="18" xfId="52" applyFont="1" applyFill="1" applyBorder="1" applyAlignment="1" applyProtection="1">
      <alignment vertical="center" wrapText="1"/>
      <protection locked="0"/>
    </xf>
    <xf numFmtId="0" fontId="39" fillId="0" borderId="18" xfId="52" applyFont="1" applyFill="1" applyBorder="1" applyAlignment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 applyProtection="1">
      <alignment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_Załącznik nr 3 2007 10 zmieniona wfos na 10lat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3">
      <selection activeCell="C27" sqref="C27"/>
    </sheetView>
  </sheetViews>
  <sheetFormatPr defaultColWidth="9.00390625" defaultRowHeight="12.75"/>
  <cols>
    <col min="1" max="1" width="11.625" style="0" customWidth="1"/>
    <col min="2" max="2" width="19.25390625" style="0" customWidth="1"/>
    <col min="3" max="3" width="56.125" style="0" customWidth="1"/>
    <col min="4" max="4" width="41.75390625" style="0" customWidth="1"/>
  </cols>
  <sheetData>
    <row r="1" ht="15.75">
      <c r="A1" s="2"/>
    </row>
    <row r="2" ht="15.75">
      <c r="A2" s="2"/>
    </row>
    <row r="3" ht="15.75">
      <c r="A3" s="2"/>
    </row>
    <row r="4" spans="2:6" ht="18">
      <c r="B4" s="7"/>
      <c r="C4" s="8" t="s">
        <v>74</v>
      </c>
      <c r="D4" s="8"/>
      <c r="E4" s="8"/>
      <c r="F4" s="8"/>
    </row>
    <row r="5" ht="15.75">
      <c r="B5" s="4"/>
    </row>
    <row r="6" spans="2:4" ht="19.5" customHeight="1">
      <c r="B6" s="9" t="s">
        <v>75</v>
      </c>
      <c r="C6" s="14"/>
      <c r="D6" s="14"/>
    </row>
    <row r="7" spans="2:4" ht="19.5" customHeight="1">
      <c r="B7" s="9" t="s">
        <v>73</v>
      </c>
      <c r="C7" s="14"/>
      <c r="D7" s="14"/>
    </row>
    <row r="8" spans="2:4" ht="19.5" customHeight="1">
      <c r="B8" s="9"/>
      <c r="C8" s="10" t="s">
        <v>102</v>
      </c>
      <c r="D8" s="15"/>
    </row>
    <row r="9" spans="1:4" ht="19.5" customHeight="1">
      <c r="A9" s="9"/>
      <c r="B9" s="9" t="s">
        <v>90</v>
      </c>
      <c r="C9" s="14"/>
      <c r="D9" s="14"/>
    </row>
    <row r="10" spans="2:4" ht="19.5" customHeight="1">
      <c r="B10" s="9" t="s">
        <v>91</v>
      </c>
      <c r="C10" s="14"/>
      <c r="D10" s="14"/>
    </row>
    <row r="11" ht="15.75">
      <c r="B11" s="3"/>
    </row>
    <row r="12" ht="15.75">
      <c r="B12" s="3"/>
    </row>
    <row r="13" ht="15.75">
      <c r="B13" s="2"/>
    </row>
    <row r="14" spans="2:7" ht="15.75">
      <c r="B14" s="3"/>
      <c r="C14" s="6"/>
      <c r="D14" s="6"/>
      <c r="E14" s="6"/>
      <c r="F14" s="6"/>
      <c r="G14" s="6"/>
    </row>
    <row r="15" spans="3:7" ht="15.75">
      <c r="C15" s="9"/>
      <c r="E15" s="9"/>
      <c r="F15" s="6"/>
      <c r="G15" s="6"/>
    </row>
    <row r="16" ht="15.75">
      <c r="A16" s="2"/>
    </row>
    <row r="17" ht="15.75">
      <c r="A17" s="5"/>
    </row>
    <row r="18" ht="12.75">
      <c r="A18" s="9" t="s">
        <v>76</v>
      </c>
    </row>
    <row r="19" ht="15.75">
      <c r="A19" s="5"/>
    </row>
    <row r="20" spans="1:5" ht="18.75" customHeight="1">
      <c r="A20" s="58" t="s">
        <v>69</v>
      </c>
      <c r="B20" s="59"/>
      <c r="C20" s="59"/>
      <c r="D20" s="11"/>
      <c r="E20" s="11"/>
    </row>
    <row r="21" spans="1:5" ht="15.75">
      <c r="A21" s="16" t="s">
        <v>70</v>
      </c>
      <c r="B21" s="16" t="s">
        <v>71</v>
      </c>
      <c r="C21" s="16" t="s">
        <v>72</v>
      </c>
      <c r="D21" s="11"/>
      <c r="E21" s="11"/>
    </row>
    <row r="22" spans="1:5" ht="15.75">
      <c r="A22" s="20"/>
      <c r="B22" s="23"/>
      <c r="C22" s="17"/>
      <c r="D22" s="13"/>
      <c r="E22" s="13"/>
    </row>
    <row r="23" spans="1:5" ht="15.75">
      <c r="A23" s="21"/>
      <c r="B23" s="24"/>
      <c r="C23" s="18"/>
      <c r="D23" s="13"/>
      <c r="E23" s="13"/>
    </row>
    <row r="24" spans="1:5" ht="15.75">
      <c r="A24" s="21"/>
      <c r="B24" s="24"/>
      <c r="C24" s="18"/>
      <c r="D24" s="13"/>
      <c r="E24" s="13"/>
    </row>
    <row r="25" spans="1:5" ht="15.75">
      <c r="A25" s="22"/>
      <c r="B25" s="25"/>
      <c r="C25" s="19"/>
      <c r="D25" s="13"/>
      <c r="E25" s="13"/>
    </row>
    <row r="26" spans="1:3" ht="15.75">
      <c r="A26" s="12"/>
      <c r="B26" s="13"/>
      <c r="C26" s="13"/>
    </row>
    <row r="27" spans="1:3" ht="15.75">
      <c r="A27" s="5"/>
      <c r="B27" s="1"/>
      <c r="C27" s="1"/>
    </row>
  </sheetData>
  <sheetProtection/>
  <mergeCells count="1"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zoomScalePageLayoutView="0" workbookViewId="0" topLeftCell="A1">
      <pane xSplit="1" ySplit="7" topLeftCell="U3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Y3" sqref="Y3"/>
    </sheetView>
  </sheetViews>
  <sheetFormatPr defaultColWidth="9.00390625" defaultRowHeight="12.75"/>
  <cols>
    <col min="1" max="1" width="84.875" style="69" customWidth="1"/>
    <col min="2" max="2" width="24.25390625" style="70" hidden="1" customWidth="1"/>
    <col min="3" max="3" width="21.875" style="70" customWidth="1"/>
    <col min="4" max="4" width="22.375" style="70" customWidth="1"/>
    <col min="5" max="5" width="19.125" style="70" customWidth="1"/>
    <col min="6" max="22" width="21.125" style="70" customWidth="1"/>
    <col min="23" max="23" width="9.125" style="70" customWidth="1"/>
    <col min="24" max="24" width="12.75390625" style="70" bestFit="1" customWidth="1"/>
    <col min="25" max="16384" width="9.125" style="70" customWidth="1"/>
  </cols>
  <sheetData>
    <row r="1" spans="6:22" ht="21" customHeight="1">
      <c r="F1" s="60" t="s">
        <v>108</v>
      </c>
      <c r="G1" s="60"/>
      <c r="H1" s="60"/>
      <c r="I1" s="60"/>
      <c r="J1" s="60"/>
      <c r="K1" s="71"/>
      <c r="L1" s="71"/>
      <c r="N1" s="72"/>
      <c r="O1" s="72"/>
      <c r="P1" s="72"/>
      <c r="Q1" s="72"/>
      <c r="R1" s="72"/>
      <c r="S1" s="71"/>
      <c r="T1" s="71"/>
      <c r="U1" s="71" t="s">
        <v>99</v>
      </c>
      <c r="V1" s="71"/>
    </row>
    <row r="2" spans="1:22" s="74" customFormat="1" ht="21" customHeight="1">
      <c r="A2" s="73"/>
      <c r="G2" s="75"/>
      <c r="H2" s="75"/>
      <c r="I2" s="75"/>
      <c r="J2" s="75"/>
      <c r="K2" s="75"/>
      <c r="L2" s="76">
        <f>L25-L36</f>
        <v>0</v>
      </c>
      <c r="M2" s="76">
        <f aca="true" t="shared" si="0" ref="M2:V2">M25-M36</f>
        <v>0</v>
      </c>
      <c r="N2" s="76">
        <f t="shared" si="0"/>
        <v>0</v>
      </c>
      <c r="O2" s="76">
        <f t="shared" si="0"/>
        <v>0</v>
      </c>
      <c r="P2" s="76">
        <f t="shared" si="0"/>
        <v>0</v>
      </c>
      <c r="Q2" s="76">
        <f t="shared" si="0"/>
        <v>0</v>
      </c>
      <c r="R2" s="76">
        <f t="shared" si="0"/>
        <v>0</v>
      </c>
      <c r="S2" s="76">
        <f t="shared" si="0"/>
        <v>0</v>
      </c>
      <c r="T2" s="76">
        <f t="shared" si="0"/>
        <v>0</v>
      </c>
      <c r="U2" s="76">
        <f t="shared" si="0"/>
        <v>0</v>
      </c>
      <c r="V2" s="76">
        <f t="shared" si="0"/>
        <v>0</v>
      </c>
    </row>
    <row r="3" spans="1:10" ht="36.75" customHeight="1">
      <c r="A3" s="61" t="s">
        <v>105</v>
      </c>
      <c r="B3" s="61"/>
      <c r="C3" s="61"/>
      <c r="D3" s="71"/>
      <c r="E3" s="71"/>
      <c r="F3" s="71"/>
      <c r="G3" s="71"/>
      <c r="H3" s="71"/>
      <c r="I3" s="71"/>
      <c r="J3" s="71"/>
    </row>
    <row r="4" spans="7:21" ht="13.5" customHeight="1">
      <c r="G4" s="57"/>
      <c r="S4" s="77"/>
      <c r="U4" s="77"/>
    </row>
    <row r="5" spans="20:22" ht="3.75" customHeight="1">
      <c r="T5" s="78"/>
      <c r="V5" s="78"/>
    </row>
    <row r="6" spans="1:22" ht="38.25" customHeight="1">
      <c r="A6" s="79" t="s">
        <v>0</v>
      </c>
      <c r="B6" s="80" t="s">
        <v>101</v>
      </c>
      <c r="C6" s="80" t="s">
        <v>78</v>
      </c>
      <c r="D6" s="80" t="s">
        <v>92</v>
      </c>
      <c r="E6" s="80" t="s">
        <v>106</v>
      </c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</row>
    <row r="7" spans="1:22" ht="45" customHeight="1">
      <c r="A7" s="84"/>
      <c r="B7" s="85"/>
      <c r="C7" s="85"/>
      <c r="D7" s="85"/>
      <c r="E7" s="86"/>
      <c r="F7" s="87">
        <v>2011</v>
      </c>
      <c r="G7" s="87">
        <v>2012</v>
      </c>
      <c r="H7" s="87">
        <v>2013</v>
      </c>
      <c r="I7" s="87">
        <v>2014</v>
      </c>
      <c r="J7" s="87">
        <v>2015</v>
      </c>
      <c r="K7" s="87">
        <v>2016</v>
      </c>
      <c r="L7" s="87">
        <v>2017</v>
      </c>
      <c r="M7" s="87">
        <v>2018</v>
      </c>
      <c r="N7" s="87">
        <v>2019</v>
      </c>
      <c r="O7" s="87">
        <v>2020</v>
      </c>
      <c r="P7" s="87">
        <v>2021</v>
      </c>
      <c r="Q7" s="87">
        <v>2022</v>
      </c>
      <c r="R7" s="87">
        <v>2023</v>
      </c>
      <c r="S7" s="87">
        <v>2024</v>
      </c>
      <c r="T7" s="87">
        <v>2025</v>
      </c>
      <c r="U7" s="87">
        <v>2026</v>
      </c>
      <c r="V7" s="87">
        <v>2027</v>
      </c>
    </row>
    <row r="8" spans="1:22" ht="32.25" customHeight="1">
      <c r="A8" s="84" t="s">
        <v>58</v>
      </c>
      <c r="B8" s="88">
        <f>B9+B10+B11+B12</f>
        <v>32295092</v>
      </c>
      <c r="C8" s="88">
        <f>C9+C10+C11+C12</f>
        <v>27869242</v>
      </c>
      <c r="D8" s="88">
        <f>D9+D10+D11+D12</f>
        <v>29616164.8</v>
      </c>
      <c r="E8" s="88">
        <v>31438703</v>
      </c>
      <c r="F8" s="88">
        <f>34197793</f>
        <v>34197793</v>
      </c>
      <c r="G8" s="88">
        <f>33900000+88103</f>
        <v>33988103</v>
      </c>
      <c r="H8" s="88">
        <f>34720000+50000</f>
        <v>34770000</v>
      </c>
      <c r="I8" s="88">
        <f>36108800+300000</f>
        <v>36408800</v>
      </c>
      <c r="J8" s="88">
        <f>37190000+450000</f>
        <v>37640000</v>
      </c>
      <c r="K8" s="88">
        <f>38307800+500000</f>
        <v>38807800</v>
      </c>
      <c r="L8" s="88">
        <v>39750000</v>
      </c>
      <c r="M8" s="88">
        <v>40640000</v>
      </c>
      <c r="N8" s="88">
        <v>41850000</v>
      </c>
      <c r="O8" s="88">
        <v>43115000</v>
      </c>
      <c r="P8" s="88">
        <v>44400000</v>
      </c>
      <c r="Q8" s="88">
        <v>45740000</v>
      </c>
      <c r="R8" s="88">
        <v>47110000</v>
      </c>
      <c r="S8" s="88">
        <v>48520000</v>
      </c>
      <c r="T8" s="88">
        <v>49900000</v>
      </c>
      <c r="U8" s="88">
        <v>51480000</v>
      </c>
      <c r="V8" s="88">
        <v>53020000</v>
      </c>
    </row>
    <row r="9" spans="1:22" s="91" customFormat="1" ht="46.5" hidden="1">
      <c r="A9" s="89" t="s">
        <v>67</v>
      </c>
      <c r="B9" s="90">
        <v>9801248</v>
      </c>
      <c r="C9" s="90">
        <v>11097347</v>
      </c>
      <c r="D9" s="90">
        <v>10882609</v>
      </c>
      <c r="E9" s="90">
        <v>11121059</v>
      </c>
      <c r="F9" s="90">
        <v>14482747</v>
      </c>
      <c r="G9" s="90">
        <v>12500000</v>
      </c>
      <c r="H9" s="90">
        <v>12800000</v>
      </c>
      <c r="I9" s="90">
        <v>12850000</v>
      </c>
      <c r="J9" s="90">
        <v>13500000</v>
      </c>
      <c r="K9" s="90">
        <f>ROUND((J9*104.5%),0)</f>
        <v>14107500</v>
      </c>
      <c r="L9" s="90">
        <f aca="true" t="shared" si="1" ref="L9:V9">ROUND((K9*104.5%),0)</f>
        <v>14742338</v>
      </c>
      <c r="M9" s="90">
        <f t="shared" si="1"/>
        <v>15405743</v>
      </c>
      <c r="N9" s="90">
        <f t="shared" si="1"/>
        <v>16099001</v>
      </c>
      <c r="O9" s="90">
        <f t="shared" si="1"/>
        <v>16823456</v>
      </c>
      <c r="P9" s="90">
        <f t="shared" si="1"/>
        <v>17580512</v>
      </c>
      <c r="Q9" s="90">
        <f t="shared" si="1"/>
        <v>18371635</v>
      </c>
      <c r="R9" s="90">
        <f t="shared" si="1"/>
        <v>19198359</v>
      </c>
      <c r="S9" s="90">
        <f t="shared" si="1"/>
        <v>20062285</v>
      </c>
      <c r="T9" s="90">
        <f t="shared" si="1"/>
        <v>20965088</v>
      </c>
      <c r="U9" s="90">
        <f t="shared" si="1"/>
        <v>21908517</v>
      </c>
      <c r="V9" s="90">
        <f t="shared" si="1"/>
        <v>22894400</v>
      </c>
    </row>
    <row r="10" spans="1:22" s="91" customFormat="1" ht="23.25" hidden="1">
      <c r="A10" s="92" t="s">
        <v>59</v>
      </c>
      <c r="B10" s="90">
        <v>11162312</v>
      </c>
      <c r="C10" s="90">
        <v>12633948</v>
      </c>
      <c r="D10" s="90">
        <v>14610807</v>
      </c>
      <c r="E10" s="90">
        <v>14851210</v>
      </c>
      <c r="F10" s="90">
        <v>15447434</v>
      </c>
      <c r="G10" s="90">
        <v>16063068</v>
      </c>
      <c r="H10" s="90">
        <v>16705591</v>
      </c>
      <c r="I10" s="90">
        <v>17373815</v>
      </c>
      <c r="J10" s="90">
        <v>18068767</v>
      </c>
      <c r="K10" s="90">
        <f>ROUND((J10*104%),0)</f>
        <v>18791518</v>
      </c>
      <c r="L10" s="90">
        <f aca="true" t="shared" si="2" ref="L10:V10">ROUND((K10*104%),0)</f>
        <v>19543179</v>
      </c>
      <c r="M10" s="90">
        <f t="shared" si="2"/>
        <v>20324906</v>
      </c>
      <c r="N10" s="90">
        <f t="shared" si="2"/>
        <v>21137902</v>
      </c>
      <c r="O10" s="90">
        <f t="shared" si="2"/>
        <v>21983418</v>
      </c>
      <c r="P10" s="90">
        <f t="shared" si="2"/>
        <v>22862755</v>
      </c>
      <c r="Q10" s="90">
        <f t="shared" si="2"/>
        <v>23777265</v>
      </c>
      <c r="R10" s="90">
        <f t="shared" si="2"/>
        <v>24728356</v>
      </c>
      <c r="S10" s="90">
        <f t="shared" si="2"/>
        <v>25717490</v>
      </c>
      <c r="T10" s="90">
        <f t="shared" si="2"/>
        <v>26746190</v>
      </c>
      <c r="U10" s="90">
        <f t="shared" si="2"/>
        <v>27816038</v>
      </c>
      <c r="V10" s="90">
        <f t="shared" si="2"/>
        <v>28928680</v>
      </c>
    </row>
    <row r="11" spans="1:22" s="91" customFormat="1" ht="23.25" hidden="1">
      <c r="A11" s="92" t="s">
        <v>60</v>
      </c>
      <c r="B11" s="90">
        <v>11331532</v>
      </c>
      <c r="C11" s="90">
        <v>4080155</v>
      </c>
      <c r="D11" s="90">
        <v>3939743</v>
      </c>
      <c r="E11" s="90">
        <v>5201973</v>
      </c>
      <c r="F11" s="90">
        <v>3863122</v>
      </c>
      <c r="G11" s="90">
        <v>4051544</v>
      </c>
      <c r="H11" s="90">
        <v>4173090</v>
      </c>
      <c r="I11" s="90">
        <v>4298283</v>
      </c>
      <c r="J11" s="90">
        <v>4427231</v>
      </c>
      <c r="K11" s="90">
        <f>ROUND((J11*103%),0)</f>
        <v>4560048</v>
      </c>
      <c r="L11" s="90">
        <f aca="true" t="shared" si="3" ref="L11:V11">ROUND((K11*103%),0)</f>
        <v>4696849</v>
      </c>
      <c r="M11" s="90">
        <f t="shared" si="3"/>
        <v>4837754</v>
      </c>
      <c r="N11" s="90">
        <f t="shared" si="3"/>
        <v>4982887</v>
      </c>
      <c r="O11" s="90">
        <f t="shared" si="3"/>
        <v>5132374</v>
      </c>
      <c r="P11" s="90">
        <f t="shared" si="3"/>
        <v>5286345</v>
      </c>
      <c r="Q11" s="90">
        <f t="shared" si="3"/>
        <v>5444935</v>
      </c>
      <c r="R11" s="90">
        <f t="shared" si="3"/>
        <v>5608283</v>
      </c>
      <c r="S11" s="90">
        <f t="shared" si="3"/>
        <v>5776531</v>
      </c>
      <c r="T11" s="90">
        <f t="shared" si="3"/>
        <v>5949827</v>
      </c>
      <c r="U11" s="90">
        <f t="shared" si="3"/>
        <v>6128322</v>
      </c>
      <c r="V11" s="90">
        <f t="shared" si="3"/>
        <v>6312172</v>
      </c>
    </row>
    <row r="12" spans="1:22" s="91" customFormat="1" ht="23.25" hidden="1">
      <c r="A12" s="93" t="s">
        <v>62</v>
      </c>
      <c r="B12" s="94"/>
      <c r="C12" s="94">
        <v>57792</v>
      </c>
      <c r="D12" s="94">
        <v>183005.8</v>
      </c>
      <c r="E12" s="94">
        <v>356349</v>
      </c>
      <c r="F12" s="94">
        <v>283560</v>
      </c>
      <c r="G12" s="94"/>
      <c r="H12" s="94"/>
      <c r="I12" s="94">
        <v>0</v>
      </c>
      <c r="J12" s="94">
        <v>0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</row>
    <row r="13" spans="1:22" s="69" customFormat="1" ht="24.75" customHeight="1">
      <c r="A13" s="95" t="s">
        <v>61</v>
      </c>
      <c r="B13" s="96">
        <f>B14+B16+B17</f>
        <v>1665944</v>
      </c>
      <c r="C13" s="96">
        <f>C14+C16+C17</f>
        <v>489500</v>
      </c>
      <c r="D13" s="96">
        <f>D14+D16+D17</f>
        <v>1623930</v>
      </c>
      <c r="E13" s="96">
        <v>6006974</v>
      </c>
      <c r="F13" s="96">
        <v>8482785</v>
      </c>
      <c r="G13" s="96">
        <v>2565000</v>
      </c>
      <c r="H13" s="96">
        <v>1800000</v>
      </c>
      <c r="I13" s="96">
        <v>100000</v>
      </c>
      <c r="J13" s="96">
        <f aca="true" t="shared" si="4" ref="J13:T13">J14+J16</f>
        <v>100000</v>
      </c>
      <c r="K13" s="96">
        <f t="shared" si="4"/>
        <v>100000</v>
      </c>
      <c r="L13" s="96">
        <f t="shared" si="4"/>
        <v>100000</v>
      </c>
      <c r="M13" s="96">
        <f t="shared" si="4"/>
        <v>100000</v>
      </c>
      <c r="N13" s="96">
        <f t="shared" si="4"/>
        <v>100000</v>
      </c>
      <c r="O13" s="96">
        <f t="shared" si="4"/>
        <v>100000</v>
      </c>
      <c r="P13" s="96">
        <f t="shared" si="4"/>
        <v>100000</v>
      </c>
      <c r="Q13" s="96">
        <f t="shared" si="4"/>
        <v>100000</v>
      </c>
      <c r="R13" s="96">
        <f t="shared" si="4"/>
        <v>100000</v>
      </c>
      <c r="S13" s="96">
        <f t="shared" si="4"/>
        <v>100000</v>
      </c>
      <c r="T13" s="96">
        <f t="shared" si="4"/>
        <v>100000</v>
      </c>
      <c r="U13" s="96">
        <f>U14+U16</f>
        <v>100000</v>
      </c>
      <c r="V13" s="96">
        <f>V14+V16</f>
        <v>100000</v>
      </c>
    </row>
    <row r="14" spans="1:22" s="91" customFormat="1" ht="23.25">
      <c r="A14" s="93" t="s">
        <v>63</v>
      </c>
      <c r="B14" s="94">
        <v>61514</v>
      </c>
      <c r="C14" s="94">
        <v>154909</v>
      </c>
      <c r="D14" s="94">
        <v>57831</v>
      </c>
      <c r="E14" s="94">
        <v>80000</v>
      </c>
      <c r="F14" s="94">
        <v>50000</v>
      </c>
      <c r="G14" s="94">
        <v>100000</v>
      </c>
      <c r="H14" s="94">
        <v>100000</v>
      </c>
      <c r="I14" s="94">
        <v>100000</v>
      </c>
      <c r="J14" s="94">
        <v>100000</v>
      </c>
      <c r="K14" s="94">
        <f>J14</f>
        <v>100000</v>
      </c>
      <c r="L14" s="94">
        <f aca="true" t="shared" si="5" ref="L14:V14">K14</f>
        <v>100000</v>
      </c>
      <c r="M14" s="94">
        <f t="shared" si="5"/>
        <v>100000</v>
      </c>
      <c r="N14" s="94">
        <f t="shared" si="5"/>
        <v>100000</v>
      </c>
      <c r="O14" s="94">
        <f t="shared" si="5"/>
        <v>100000</v>
      </c>
      <c r="P14" s="94">
        <f t="shared" si="5"/>
        <v>100000</v>
      </c>
      <c r="Q14" s="94">
        <f t="shared" si="5"/>
        <v>100000</v>
      </c>
      <c r="R14" s="94">
        <f t="shared" si="5"/>
        <v>100000</v>
      </c>
      <c r="S14" s="94">
        <f t="shared" si="5"/>
        <v>100000</v>
      </c>
      <c r="T14" s="94">
        <f t="shared" si="5"/>
        <v>100000</v>
      </c>
      <c r="U14" s="94">
        <f t="shared" si="5"/>
        <v>100000</v>
      </c>
      <c r="V14" s="94">
        <f t="shared" si="5"/>
        <v>100000</v>
      </c>
    </row>
    <row r="15" spans="1:22" s="91" customFormat="1" ht="23.25" hidden="1">
      <c r="A15" s="93" t="s">
        <v>100</v>
      </c>
      <c r="B15" s="94">
        <v>0</v>
      </c>
      <c r="C15" s="94">
        <v>154909.05</v>
      </c>
      <c r="D15" s="94">
        <v>57831.36</v>
      </c>
      <c r="E15" s="94">
        <v>80000</v>
      </c>
      <c r="F15" s="94">
        <v>50000</v>
      </c>
      <c r="G15" s="94">
        <v>100000</v>
      </c>
      <c r="H15" s="94">
        <v>100000</v>
      </c>
      <c r="I15" s="94">
        <v>100000</v>
      </c>
      <c r="J15" s="94">
        <v>100000</v>
      </c>
      <c r="K15" s="94">
        <f>J15</f>
        <v>100000</v>
      </c>
      <c r="L15" s="94">
        <f aca="true" t="shared" si="6" ref="L15:V15">K15</f>
        <v>100000</v>
      </c>
      <c r="M15" s="94">
        <f t="shared" si="6"/>
        <v>100000</v>
      </c>
      <c r="N15" s="94">
        <f t="shared" si="6"/>
        <v>100000</v>
      </c>
      <c r="O15" s="94">
        <f t="shared" si="6"/>
        <v>100000</v>
      </c>
      <c r="P15" s="94">
        <f t="shared" si="6"/>
        <v>100000</v>
      </c>
      <c r="Q15" s="94">
        <f t="shared" si="6"/>
        <v>100000</v>
      </c>
      <c r="R15" s="94">
        <f t="shared" si="6"/>
        <v>100000</v>
      </c>
      <c r="S15" s="94">
        <f t="shared" si="6"/>
        <v>100000</v>
      </c>
      <c r="T15" s="94">
        <f t="shared" si="6"/>
        <v>100000</v>
      </c>
      <c r="U15" s="94">
        <f t="shared" si="6"/>
        <v>100000</v>
      </c>
      <c r="V15" s="94">
        <f t="shared" si="6"/>
        <v>100000</v>
      </c>
    </row>
    <row r="16" spans="1:22" s="97" customFormat="1" ht="23.25" hidden="1">
      <c r="A16" s="93" t="s">
        <v>64</v>
      </c>
      <c r="B16" s="94">
        <v>863748</v>
      </c>
      <c r="C16" s="94">
        <v>334591</v>
      </c>
      <c r="D16" s="94">
        <v>1549821</v>
      </c>
      <c r="E16" s="94">
        <v>2021188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1:22" s="91" customFormat="1" ht="23.25" hidden="1">
      <c r="A17" s="92" t="s">
        <v>65</v>
      </c>
      <c r="B17" s="90">
        <v>740682</v>
      </c>
      <c r="C17" s="90"/>
      <c r="D17" s="90">
        <v>16278</v>
      </c>
      <c r="E17" s="90">
        <v>4192998</v>
      </c>
      <c r="F17" s="98">
        <v>6071643</v>
      </c>
      <c r="G17" s="98">
        <v>2550000</v>
      </c>
      <c r="H17" s="98">
        <f>850000</f>
        <v>850000</v>
      </c>
      <c r="I17" s="98"/>
      <c r="J17" s="98" t="s">
        <v>46</v>
      </c>
      <c r="K17" s="98" t="s">
        <v>46</v>
      </c>
      <c r="L17" s="98" t="s">
        <v>46</v>
      </c>
      <c r="M17" s="98" t="s">
        <v>46</v>
      </c>
      <c r="N17" s="98" t="s">
        <v>46</v>
      </c>
      <c r="O17" s="98" t="s">
        <v>46</v>
      </c>
      <c r="P17" s="98" t="s">
        <v>46</v>
      </c>
      <c r="Q17" s="98" t="s">
        <v>46</v>
      </c>
      <c r="R17" s="98" t="s">
        <v>46</v>
      </c>
      <c r="S17" s="98" t="s">
        <v>46</v>
      </c>
      <c r="T17" s="98" t="s">
        <v>46</v>
      </c>
      <c r="U17" s="98" t="s">
        <v>46</v>
      </c>
      <c r="V17" s="98" t="s">
        <v>46</v>
      </c>
    </row>
    <row r="18" spans="1:22" ht="23.25" thickBot="1">
      <c r="A18" s="99" t="s">
        <v>66</v>
      </c>
      <c r="B18" s="100">
        <f aca="true" t="shared" si="7" ref="B18:G18">B8+B13</f>
        <v>33961036</v>
      </c>
      <c r="C18" s="100">
        <f t="shared" si="7"/>
        <v>28358742</v>
      </c>
      <c r="D18" s="100">
        <f t="shared" si="7"/>
        <v>31240094.8</v>
      </c>
      <c r="E18" s="100">
        <f t="shared" si="7"/>
        <v>37445677</v>
      </c>
      <c r="F18" s="100">
        <f t="shared" si="7"/>
        <v>42680578</v>
      </c>
      <c r="G18" s="100">
        <f t="shared" si="7"/>
        <v>36553103</v>
      </c>
      <c r="H18" s="100">
        <f aca="true" t="shared" si="8" ref="H18:T18">H8+H13</f>
        <v>36570000</v>
      </c>
      <c r="I18" s="100">
        <f t="shared" si="8"/>
        <v>36508800</v>
      </c>
      <c r="J18" s="100">
        <f t="shared" si="8"/>
        <v>37740000</v>
      </c>
      <c r="K18" s="100">
        <f t="shared" si="8"/>
        <v>38907800</v>
      </c>
      <c r="L18" s="100">
        <f t="shared" si="8"/>
        <v>39850000</v>
      </c>
      <c r="M18" s="100">
        <f t="shared" si="8"/>
        <v>40740000</v>
      </c>
      <c r="N18" s="100">
        <f t="shared" si="8"/>
        <v>41950000</v>
      </c>
      <c r="O18" s="100">
        <f t="shared" si="8"/>
        <v>43215000</v>
      </c>
      <c r="P18" s="100">
        <f t="shared" si="8"/>
        <v>44500000</v>
      </c>
      <c r="Q18" s="100">
        <f t="shared" si="8"/>
        <v>45840000</v>
      </c>
      <c r="R18" s="100">
        <f t="shared" si="8"/>
        <v>47210000</v>
      </c>
      <c r="S18" s="100">
        <f t="shared" si="8"/>
        <v>48620000</v>
      </c>
      <c r="T18" s="100">
        <f t="shared" si="8"/>
        <v>50000000</v>
      </c>
      <c r="U18" s="100">
        <f>U8+U13</f>
        <v>51580000</v>
      </c>
      <c r="V18" s="100">
        <f>V8+V13</f>
        <v>53120000</v>
      </c>
    </row>
    <row r="19" spans="1:22" s="91" customFormat="1" ht="22.5">
      <c r="A19" s="101" t="s">
        <v>8</v>
      </c>
      <c r="B19" s="102">
        <v>28022533</v>
      </c>
      <c r="C19" s="102">
        <v>23032283</v>
      </c>
      <c r="D19" s="102">
        <v>25226883.38</v>
      </c>
      <c r="E19" s="102">
        <v>30166540</v>
      </c>
      <c r="F19" s="102">
        <v>31063171</v>
      </c>
      <c r="G19" s="102">
        <v>29950000</v>
      </c>
      <c r="H19" s="102">
        <v>30558000</v>
      </c>
      <c r="I19" s="102">
        <v>31838080</v>
      </c>
      <c r="J19" s="102">
        <v>32678000</v>
      </c>
      <c r="K19" s="102">
        <v>33509422</v>
      </c>
      <c r="L19" s="102">
        <v>34500200</v>
      </c>
      <c r="M19" s="102">
        <v>35523120</v>
      </c>
      <c r="N19" s="102">
        <v>36575000</v>
      </c>
      <c r="O19" s="102">
        <v>37657000</v>
      </c>
      <c r="P19" s="102">
        <v>38768000</v>
      </c>
      <c r="Q19" s="102">
        <v>39927900</v>
      </c>
      <c r="R19" s="102">
        <v>41122400</v>
      </c>
      <c r="S19" s="102">
        <v>42352700</v>
      </c>
      <c r="T19" s="102">
        <v>43620000</v>
      </c>
      <c r="U19" s="102">
        <v>44925000</v>
      </c>
      <c r="V19" s="102">
        <v>46248000</v>
      </c>
    </row>
    <row r="20" spans="1:22" s="91" customFormat="1" ht="49.5">
      <c r="A20" s="103" t="s">
        <v>110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</row>
    <row r="21" spans="1:22" s="91" customFormat="1" ht="27">
      <c r="A21" s="105" t="s">
        <v>111</v>
      </c>
      <c r="B21" s="106">
        <v>148931</v>
      </c>
      <c r="C21" s="106">
        <v>277715</v>
      </c>
      <c r="D21" s="106">
        <v>235481.9</v>
      </c>
      <c r="E21" s="106">
        <v>350000</v>
      </c>
      <c r="F21" s="106">
        <v>600000</v>
      </c>
      <c r="G21" s="106">
        <f>Harmonogram!H17</f>
        <v>500000</v>
      </c>
      <c r="H21" s="106">
        <f>Harmonogram!J17</f>
        <v>450000</v>
      </c>
      <c r="I21" s="106">
        <f>Harmonogram!L17</f>
        <v>330000</v>
      </c>
      <c r="J21" s="106">
        <f>Harmonogram!N17</f>
        <v>225500</v>
      </c>
      <c r="K21" s="106">
        <f>Harmonogram!P17</f>
        <v>82500</v>
      </c>
      <c r="L21" s="106">
        <f>Harmonogram!R17</f>
        <v>70500</v>
      </c>
      <c r="M21" s="106">
        <f>Harmonogram!T17</f>
        <v>60500</v>
      </c>
      <c r="N21" s="106">
        <f>Harmonogram!V17</f>
        <v>48500</v>
      </c>
      <c r="O21" s="106">
        <f>Harmonogram!AJ17</f>
        <v>35500</v>
      </c>
      <c r="P21" s="106">
        <f>Harmonogram!AL17</f>
        <v>17500</v>
      </c>
      <c r="Q21" s="106">
        <f>Harmonogram!AN17</f>
        <v>14500</v>
      </c>
      <c r="R21" s="106">
        <f>Harmonogram!AP17</f>
        <v>11500</v>
      </c>
      <c r="S21" s="106">
        <f>Harmonogram!AR17</f>
        <v>8500</v>
      </c>
      <c r="T21" s="106">
        <f>Harmonogram!AT17</f>
        <v>5500</v>
      </c>
      <c r="U21" s="106">
        <f>Harmonogram!AV17</f>
        <v>2500</v>
      </c>
      <c r="V21" s="106">
        <f>Harmonogram!AX17</f>
        <v>500</v>
      </c>
    </row>
    <row r="22" spans="1:22" s="91" customFormat="1" ht="45">
      <c r="A22" s="101" t="s">
        <v>7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</row>
    <row r="23" spans="1:22" s="91" customFormat="1" ht="23.25" thickBot="1">
      <c r="A23" s="95" t="s">
        <v>49</v>
      </c>
      <c r="B23" s="107">
        <v>6960003</v>
      </c>
      <c r="C23" s="107">
        <v>6298781</v>
      </c>
      <c r="D23" s="107">
        <v>5753284.76</v>
      </c>
      <c r="E23" s="107">
        <v>15303292</v>
      </c>
      <c r="F23" s="107">
        <v>10478575</v>
      </c>
      <c r="G23" s="107">
        <v>4282000</v>
      </c>
      <c r="H23" s="107">
        <v>3703504</v>
      </c>
      <c r="I23" s="107">
        <v>2095800</v>
      </c>
      <c r="J23" s="107">
        <f>2640218+400000-351000-71069-71069</f>
        <v>2547080</v>
      </c>
      <c r="K23" s="107">
        <v>4620458</v>
      </c>
      <c r="L23" s="107">
        <v>4801880</v>
      </c>
      <c r="M23" s="107">
        <v>4968960</v>
      </c>
      <c r="N23" s="107">
        <v>5127080</v>
      </c>
      <c r="O23" s="107">
        <v>5310080</v>
      </c>
      <c r="P23" s="107">
        <v>5630080</v>
      </c>
      <c r="Q23" s="107">
        <v>5810180</v>
      </c>
      <c r="R23" s="107">
        <v>5985680</v>
      </c>
      <c r="S23" s="107">
        <v>6165380</v>
      </c>
      <c r="T23" s="107">
        <v>6278080</v>
      </c>
      <c r="U23" s="107">
        <v>6553080</v>
      </c>
      <c r="V23" s="107">
        <v>6794826</v>
      </c>
    </row>
    <row r="24" spans="1:22" ht="23.25" thickBot="1">
      <c r="A24" s="108" t="s">
        <v>11</v>
      </c>
      <c r="B24" s="109">
        <f aca="true" t="shared" si="9" ref="B24:T24">B19+B23</f>
        <v>34982536</v>
      </c>
      <c r="C24" s="109">
        <f>C19+C23</f>
        <v>29331064</v>
      </c>
      <c r="D24" s="109">
        <f>D19+D23</f>
        <v>30980168.14</v>
      </c>
      <c r="E24" s="109">
        <f t="shared" si="9"/>
        <v>45469832</v>
      </c>
      <c r="F24" s="109">
        <f t="shared" si="9"/>
        <v>41541746</v>
      </c>
      <c r="G24" s="109">
        <f t="shared" si="9"/>
        <v>34232000</v>
      </c>
      <c r="H24" s="109">
        <f t="shared" si="9"/>
        <v>34261504</v>
      </c>
      <c r="I24" s="109">
        <f t="shared" si="9"/>
        <v>33933880</v>
      </c>
      <c r="J24" s="109">
        <f>J19+J23</f>
        <v>35225080</v>
      </c>
      <c r="K24" s="109">
        <f>K19+K23</f>
        <v>38129880</v>
      </c>
      <c r="L24" s="109">
        <f>L19+L23</f>
        <v>39302080</v>
      </c>
      <c r="M24" s="109">
        <f t="shared" si="9"/>
        <v>40492080</v>
      </c>
      <c r="N24" s="109">
        <f t="shared" si="9"/>
        <v>41702080</v>
      </c>
      <c r="O24" s="109">
        <f>O19+O23</f>
        <v>42967080</v>
      </c>
      <c r="P24" s="109">
        <f>P19+P23</f>
        <v>44398080</v>
      </c>
      <c r="Q24" s="109">
        <f>Q19+Q23</f>
        <v>45738080</v>
      </c>
      <c r="R24" s="109">
        <f>R19+R23</f>
        <v>47108080</v>
      </c>
      <c r="S24" s="109">
        <f t="shared" si="9"/>
        <v>48518080</v>
      </c>
      <c r="T24" s="109">
        <f t="shared" si="9"/>
        <v>49898080</v>
      </c>
      <c r="U24" s="109">
        <f>U19+U23</f>
        <v>51478080</v>
      </c>
      <c r="V24" s="109">
        <f>V19+V23</f>
        <v>53042826</v>
      </c>
    </row>
    <row r="25" spans="1:22" ht="23.25" thickBot="1">
      <c r="A25" s="110" t="s">
        <v>12</v>
      </c>
      <c r="B25" s="111">
        <f>B18-B24</f>
        <v>-1021500</v>
      </c>
      <c r="C25" s="111">
        <f>C18-C24</f>
        <v>-972322</v>
      </c>
      <c r="D25" s="111">
        <f>D18-D24</f>
        <v>259926.66000000015</v>
      </c>
      <c r="E25" s="111">
        <f aca="true" t="shared" si="10" ref="E25:T25">E18-E24</f>
        <v>-8024155</v>
      </c>
      <c r="F25" s="111">
        <f t="shared" si="10"/>
        <v>1138832</v>
      </c>
      <c r="G25" s="111">
        <f t="shared" si="10"/>
        <v>2321103</v>
      </c>
      <c r="H25" s="111">
        <f t="shared" si="10"/>
        <v>2308496</v>
      </c>
      <c r="I25" s="111">
        <f t="shared" si="10"/>
        <v>2574920</v>
      </c>
      <c r="J25" s="111">
        <f>J18-J24</f>
        <v>2514920</v>
      </c>
      <c r="K25" s="111">
        <f>K18-K24</f>
        <v>777920</v>
      </c>
      <c r="L25" s="111">
        <f>L18-L24</f>
        <v>547920</v>
      </c>
      <c r="M25" s="111">
        <f t="shared" si="10"/>
        <v>247920</v>
      </c>
      <c r="N25" s="111">
        <f t="shared" si="10"/>
        <v>247920</v>
      </c>
      <c r="O25" s="111">
        <f>O18-O24</f>
        <v>247920</v>
      </c>
      <c r="P25" s="111">
        <f>P18-P24</f>
        <v>101920</v>
      </c>
      <c r="Q25" s="111">
        <f>Q18-Q24</f>
        <v>101920</v>
      </c>
      <c r="R25" s="111">
        <f>R18-R24</f>
        <v>101920</v>
      </c>
      <c r="S25" s="111">
        <f t="shared" si="10"/>
        <v>101920</v>
      </c>
      <c r="T25" s="111">
        <f t="shared" si="10"/>
        <v>101920</v>
      </c>
      <c r="U25" s="111">
        <f>U18-U24</f>
        <v>101920</v>
      </c>
      <c r="V25" s="111">
        <f>V18-V24</f>
        <v>77174</v>
      </c>
    </row>
    <row r="26" spans="1:22" ht="23.25" thickBot="1">
      <c r="A26" s="108" t="s">
        <v>13</v>
      </c>
      <c r="B26" s="109">
        <f>B27+B28+B29+B31+B32+B33+B34</f>
        <v>3436641</v>
      </c>
      <c r="C26" s="109">
        <f>C27+C28+C29+C31+C32+C33+C34</f>
        <v>3991161</v>
      </c>
      <c r="D26" s="109">
        <f>D27+D28+D29+D31+D32+D33+D34</f>
        <v>3857020.98</v>
      </c>
      <c r="E26" s="109">
        <f>E27+E28+E29+E30+E31+E32+E33+E34</f>
        <v>13712957</v>
      </c>
      <c r="F26" s="109">
        <f>F27+F28+F29+F30+F31+F32+F33+F34</f>
        <v>7034275</v>
      </c>
      <c r="G26" s="109">
        <f>G27+G28+G29+G30+G31+G32+G33+G34</f>
        <v>0</v>
      </c>
      <c r="H26" s="109">
        <f>H27+H28+H29+H30+H31+H32+H33+H34</f>
        <v>0</v>
      </c>
      <c r="I26" s="109">
        <f aca="true" t="shared" si="11" ref="I26:T26">I27+I28+I29+I30+I31+I32+I33+I34</f>
        <v>0</v>
      </c>
      <c r="J26" s="109">
        <f t="shared" si="11"/>
        <v>0</v>
      </c>
      <c r="K26" s="109">
        <f t="shared" si="11"/>
        <v>0</v>
      </c>
      <c r="L26" s="109">
        <f t="shared" si="11"/>
        <v>0</v>
      </c>
      <c r="M26" s="109">
        <f t="shared" si="11"/>
        <v>0</v>
      </c>
      <c r="N26" s="109">
        <f t="shared" si="11"/>
        <v>0</v>
      </c>
      <c r="O26" s="109">
        <f t="shared" si="11"/>
        <v>0</v>
      </c>
      <c r="P26" s="109">
        <f t="shared" si="11"/>
        <v>0</v>
      </c>
      <c r="Q26" s="109">
        <f t="shared" si="11"/>
        <v>0</v>
      </c>
      <c r="R26" s="109">
        <f t="shared" si="11"/>
        <v>0</v>
      </c>
      <c r="S26" s="109">
        <f t="shared" si="11"/>
        <v>0</v>
      </c>
      <c r="T26" s="109">
        <f t="shared" si="11"/>
        <v>0</v>
      </c>
      <c r="U26" s="109">
        <f>U27+U28+U29+U30+U31+U32+U33+U34</f>
        <v>0</v>
      </c>
      <c r="V26" s="109">
        <f>V27+V28+V29+V30+V31+V32+V33+V34</f>
        <v>0</v>
      </c>
    </row>
    <row r="27" spans="1:22" s="91" customFormat="1" ht="22.5">
      <c r="A27" s="103" t="s">
        <v>47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</row>
    <row r="28" spans="1:22" s="91" customFormat="1" ht="22.5">
      <c r="A28" s="105" t="s">
        <v>14</v>
      </c>
      <c r="B28" s="106">
        <v>1753600</v>
      </c>
      <c r="C28" s="106">
        <v>2800000</v>
      </c>
      <c r="D28" s="106">
        <v>1950000</v>
      </c>
      <c r="E28" s="106">
        <v>11905464</v>
      </c>
      <c r="F28" s="106">
        <v>1688103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</row>
    <row r="29" spans="1:22" s="91" customFormat="1" ht="22.5">
      <c r="A29" s="105" t="s">
        <v>15</v>
      </c>
      <c r="B29" s="106">
        <v>257453</v>
      </c>
      <c r="C29" s="106"/>
      <c r="D29" s="106">
        <v>241231.98</v>
      </c>
      <c r="E29" s="106"/>
      <c r="F29" s="106">
        <v>5077519</v>
      </c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</row>
    <row r="30" spans="1:22" s="91" customFormat="1" ht="22.5">
      <c r="A30" s="105" t="s">
        <v>17</v>
      </c>
      <c r="B30" s="112" t="s">
        <v>46</v>
      </c>
      <c r="C30" s="112" t="s">
        <v>46</v>
      </c>
      <c r="D30" s="112" t="s">
        <v>46</v>
      </c>
      <c r="E30" s="106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</row>
    <row r="31" spans="1:22" s="91" customFormat="1" ht="22.5">
      <c r="A31" s="105" t="s">
        <v>1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</row>
    <row r="32" spans="1:22" s="91" customFormat="1" ht="22.5">
      <c r="A32" s="105" t="s">
        <v>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</row>
    <row r="33" spans="1:22" s="91" customFormat="1" ht="22.5">
      <c r="A33" s="105" t="s">
        <v>3</v>
      </c>
      <c r="B33" s="106">
        <v>1425588</v>
      </c>
      <c r="C33" s="106">
        <v>1191161</v>
      </c>
      <c r="D33" s="106">
        <v>1665789</v>
      </c>
      <c r="E33" s="106">
        <v>1807493</v>
      </c>
      <c r="F33" s="106">
        <v>268653</v>
      </c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</row>
    <row r="34" spans="1:22" s="91" customFormat="1" ht="23.25" thickBot="1">
      <c r="A34" s="110" t="s">
        <v>16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</row>
    <row r="35" spans="1:22" ht="23.25" thickBot="1">
      <c r="A35" s="108" t="s">
        <v>9</v>
      </c>
      <c r="B35" s="109">
        <f>B36+B37+B38</f>
        <v>1224146</v>
      </c>
      <c r="C35" s="109">
        <f>C36+C37+C38</f>
        <v>1383050</v>
      </c>
      <c r="D35" s="109">
        <f>D36+D37+D38</f>
        <v>2309370</v>
      </c>
      <c r="E35" s="109">
        <f aca="true" t="shared" si="12" ref="E35:T35">E36+E37+E38</f>
        <v>5688802</v>
      </c>
      <c r="F35" s="109">
        <f t="shared" si="12"/>
        <v>8173107</v>
      </c>
      <c r="G35" s="109">
        <f t="shared" si="12"/>
        <v>2321103</v>
      </c>
      <c r="H35" s="109">
        <f t="shared" si="12"/>
        <v>2308496</v>
      </c>
      <c r="I35" s="109">
        <f t="shared" si="12"/>
        <v>2574920</v>
      </c>
      <c r="J35" s="109">
        <f t="shared" si="12"/>
        <v>2514920</v>
      </c>
      <c r="K35" s="109">
        <f t="shared" si="12"/>
        <v>777920</v>
      </c>
      <c r="L35" s="109">
        <f t="shared" si="12"/>
        <v>547920</v>
      </c>
      <c r="M35" s="109">
        <f t="shared" si="12"/>
        <v>247920</v>
      </c>
      <c r="N35" s="109">
        <f t="shared" si="12"/>
        <v>247920</v>
      </c>
      <c r="O35" s="109">
        <f t="shared" si="12"/>
        <v>247920</v>
      </c>
      <c r="P35" s="109">
        <f t="shared" si="12"/>
        <v>101920</v>
      </c>
      <c r="Q35" s="109">
        <f t="shared" si="12"/>
        <v>101920</v>
      </c>
      <c r="R35" s="109">
        <f t="shared" si="12"/>
        <v>101920</v>
      </c>
      <c r="S35" s="109">
        <f t="shared" si="12"/>
        <v>101920</v>
      </c>
      <c r="T35" s="109">
        <f t="shared" si="12"/>
        <v>101920</v>
      </c>
      <c r="U35" s="109">
        <f>U36+U37+U38</f>
        <v>101920</v>
      </c>
      <c r="V35" s="109">
        <f>V36+V37+V38</f>
        <v>77174</v>
      </c>
    </row>
    <row r="36" spans="1:24" s="91" customFormat="1" ht="22.5">
      <c r="A36" s="101" t="s">
        <v>48</v>
      </c>
      <c r="B36" s="102">
        <v>1224146</v>
      </c>
      <c r="C36" s="102">
        <v>1383050</v>
      </c>
      <c r="D36" s="102">
        <v>2309370</v>
      </c>
      <c r="E36" s="102">
        <v>5663802</v>
      </c>
      <c r="F36" s="102">
        <f>Harmonogram!E17</f>
        <v>8173107</v>
      </c>
      <c r="G36" s="102">
        <f>Harmonogram!G17</f>
        <v>2321103</v>
      </c>
      <c r="H36" s="102">
        <f>Harmonogram!I17</f>
        <v>2308496</v>
      </c>
      <c r="I36" s="102">
        <f>Harmonogram!K17</f>
        <v>2574920</v>
      </c>
      <c r="J36" s="102">
        <f>Harmonogram!M17</f>
        <v>2514920</v>
      </c>
      <c r="K36" s="102">
        <f>Harmonogram!O17</f>
        <v>777920</v>
      </c>
      <c r="L36" s="102">
        <f>Harmonogram!Q17</f>
        <v>547920</v>
      </c>
      <c r="M36" s="102">
        <f>Harmonogram!S17</f>
        <v>247920</v>
      </c>
      <c r="N36" s="102">
        <f>Harmonogram!U17</f>
        <v>247920</v>
      </c>
      <c r="O36" s="102">
        <f>Harmonogram!AI17</f>
        <v>247920</v>
      </c>
      <c r="P36" s="102">
        <f>Harmonogram!AK17</f>
        <v>101920</v>
      </c>
      <c r="Q36" s="102">
        <f>Harmonogram!AM17</f>
        <v>101920</v>
      </c>
      <c r="R36" s="102">
        <f>Harmonogram!AO17</f>
        <v>101920</v>
      </c>
      <c r="S36" s="102">
        <f>Harmonogram!AQ17</f>
        <v>101920</v>
      </c>
      <c r="T36" s="102">
        <f>Harmonogram!AS17</f>
        <v>101920</v>
      </c>
      <c r="U36" s="102">
        <f>Harmonogram!AU17</f>
        <v>101920</v>
      </c>
      <c r="V36" s="102">
        <f>Harmonogram!AW17</f>
        <v>77174</v>
      </c>
      <c r="X36" s="115">
        <f>SUM(E36:V36)</f>
        <v>26314642</v>
      </c>
    </row>
    <row r="37" spans="1:22" s="91" customFormat="1" ht="22.5">
      <c r="A37" s="103" t="s">
        <v>10</v>
      </c>
      <c r="B37" s="116"/>
      <c r="C37" s="116"/>
      <c r="D37" s="116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</row>
    <row r="38" spans="1:22" s="91" customFormat="1" ht="22.5">
      <c r="A38" s="101" t="s">
        <v>93</v>
      </c>
      <c r="B38" s="102"/>
      <c r="C38" s="102"/>
      <c r="D38" s="102"/>
      <c r="E38" s="102">
        <v>25000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</row>
    <row r="39" spans="1:22" s="69" customFormat="1" ht="74.25" customHeight="1">
      <c r="A39" s="101" t="s">
        <v>89</v>
      </c>
      <c r="B39" s="117" t="str">
        <f>IF((B18+B26-B24-B35)=0,"OK","Bilans różny od zera- SPRAWDŹ!!!")</f>
        <v>Bilans różny od zera- SPRAWDŹ!!!</v>
      </c>
      <c r="C39" s="117" t="s">
        <v>109</v>
      </c>
      <c r="D39" s="117" t="s">
        <v>109</v>
      </c>
      <c r="E39" s="117" t="str">
        <f aca="true" t="shared" si="13" ref="E39:T39">IF((E18+E26-E24-E35)=0,"OK","Bilans różny od zera- SPRAWDŹ!!!")</f>
        <v>OK</v>
      </c>
      <c r="F39" s="117" t="str">
        <f t="shared" si="13"/>
        <v>OK</v>
      </c>
      <c r="G39" s="117" t="str">
        <f t="shared" si="13"/>
        <v>OK</v>
      </c>
      <c r="H39" s="117" t="str">
        <f t="shared" si="13"/>
        <v>OK</v>
      </c>
      <c r="I39" s="117" t="str">
        <f t="shared" si="13"/>
        <v>OK</v>
      </c>
      <c r="J39" s="117" t="str">
        <f t="shared" si="13"/>
        <v>OK</v>
      </c>
      <c r="K39" s="117" t="str">
        <f t="shared" si="13"/>
        <v>OK</v>
      </c>
      <c r="L39" s="117" t="str">
        <f t="shared" si="13"/>
        <v>OK</v>
      </c>
      <c r="M39" s="117" t="str">
        <f t="shared" si="13"/>
        <v>OK</v>
      </c>
      <c r="N39" s="117" t="str">
        <f t="shared" si="13"/>
        <v>OK</v>
      </c>
      <c r="O39" s="117" t="str">
        <f t="shared" si="13"/>
        <v>OK</v>
      </c>
      <c r="P39" s="117" t="str">
        <f t="shared" si="13"/>
        <v>OK</v>
      </c>
      <c r="Q39" s="117" t="str">
        <f t="shared" si="13"/>
        <v>OK</v>
      </c>
      <c r="R39" s="117" t="str">
        <f t="shared" si="13"/>
        <v>OK</v>
      </c>
      <c r="S39" s="117" t="str">
        <f t="shared" si="13"/>
        <v>OK</v>
      </c>
      <c r="T39" s="117" t="str">
        <f t="shared" si="13"/>
        <v>OK</v>
      </c>
      <c r="U39" s="117" t="str">
        <f>IF((U18+U26-U24-U35)=0,"OK","Bilans różny od zera- SPRAWDŹ!!!")</f>
        <v>OK</v>
      </c>
      <c r="V39" s="117" t="str">
        <f>IF((V18+V26-V24-V35)=0,"OK","Bilans różny od zera- SPRAWDŹ!!!")</f>
        <v>OK</v>
      </c>
    </row>
    <row r="40" spans="1:22" s="69" customFormat="1" ht="45">
      <c r="A40" s="101" t="s">
        <v>50</v>
      </c>
      <c r="B40" s="118">
        <f>B8-B19</f>
        <v>4272559</v>
      </c>
      <c r="C40" s="118">
        <f>C8-C19</f>
        <v>4836959</v>
      </c>
      <c r="D40" s="118">
        <f>D8-D19</f>
        <v>4389281.420000002</v>
      </c>
      <c r="E40" s="118">
        <f aca="true" t="shared" si="14" ref="E40:T40">E8-E19</f>
        <v>1272163</v>
      </c>
      <c r="F40" s="118">
        <f t="shared" si="14"/>
        <v>3134622</v>
      </c>
      <c r="G40" s="118">
        <f t="shared" si="14"/>
        <v>4038103</v>
      </c>
      <c r="H40" s="118">
        <f t="shared" si="14"/>
        <v>4212000</v>
      </c>
      <c r="I40" s="118">
        <f t="shared" si="14"/>
        <v>4570720</v>
      </c>
      <c r="J40" s="118">
        <f t="shared" si="14"/>
        <v>4962000</v>
      </c>
      <c r="K40" s="118">
        <f t="shared" si="14"/>
        <v>5298378</v>
      </c>
      <c r="L40" s="118">
        <f t="shared" si="14"/>
        <v>5249800</v>
      </c>
      <c r="M40" s="118">
        <f t="shared" si="14"/>
        <v>5116880</v>
      </c>
      <c r="N40" s="118">
        <f t="shared" si="14"/>
        <v>5275000</v>
      </c>
      <c r="O40" s="118">
        <f t="shared" si="14"/>
        <v>5458000</v>
      </c>
      <c r="P40" s="118">
        <f t="shared" si="14"/>
        <v>5632000</v>
      </c>
      <c r="Q40" s="118">
        <f t="shared" si="14"/>
        <v>5812100</v>
      </c>
      <c r="R40" s="118">
        <f t="shared" si="14"/>
        <v>5987600</v>
      </c>
      <c r="S40" s="118">
        <f t="shared" si="14"/>
        <v>6167300</v>
      </c>
      <c r="T40" s="118">
        <f t="shared" si="14"/>
        <v>6280000</v>
      </c>
      <c r="U40" s="118">
        <f>U8-U19</f>
        <v>6555000</v>
      </c>
      <c r="V40" s="118">
        <f>V8-V19</f>
        <v>6772000</v>
      </c>
    </row>
    <row r="41" spans="1:22" s="69" customFormat="1" ht="45">
      <c r="A41" s="101" t="s">
        <v>51</v>
      </c>
      <c r="B41" s="119">
        <f>B8/B19*100</f>
        <v>115.24686936759072</v>
      </c>
      <c r="C41" s="119">
        <f>C8/C19*100</f>
        <v>121.00077964481419</v>
      </c>
      <c r="D41" s="119">
        <f>D8/D19*100</f>
        <v>117.39922190895705</v>
      </c>
      <c r="E41" s="119">
        <f aca="true" t="shared" si="15" ref="E41:T41">E8/E19*100</f>
        <v>104.21713262442427</v>
      </c>
      <c r="F41" s="119">
        <f t="shared" si="15"/>
        <v>110.0911204461386</v>
      </c>
      <c r="G41" s="119">
        <f t="shared" si="15"/>
        <v>113.48281469115192</v>
      </c>
      <c r="H41" s="119">
        <f t="shared" si="15"/>
        <v>113.78362458276065</v>
      </c>
      <c r="I41" s="119">
        <f t="shared" si="15"/>
        <v>114.35614207891933</v>
      </c>
      <c r="J41" s="119">
        <f t="shared" si="15"/>
        <v>115.18452781687986</v>
      </c>
      <c r="K41" s="119">
        <f t="shared" si="15"/>
        <v>115.81160665797219</v>
      </c>
      <c r="L41" s="119">
        <f t="shared" si="15"/>
        <v>115.21672338131373</v>
      </c>
      <c r="M41" s="119">
        <f t="shared" si="15"/>
        <v>114.40436538232002</v>
      </c>
      <c r="N41" s="119">
        <f t="shared" si="15"/>
        <v>114.42241968557758</v>
      </c>
      <c r="O41" s="119">
        <f t="shared" si="15"/>
        <v>114.49398518203786</v>
      </c>
      <c r="P41" s="119">
        <f t="shared" si="15"/>
        <v>114.52744531572432</v>
      </c>
      <c r="Q41" s="119">
        <f t="shared" si="15"/>
        <v>114.55648806974573</v>
      </c>
      <c r="R41" s="119">
        <f t="shared" si="15"/>
        <v>114.56043421590178</v>
      </c>
      <c r="S41" s="119">
        <f t="shared" si="15"/>
        <v>114.56176347670868</v>
      </c>
      <c r="T41" s="119">
        <f t="shared" si="15"/>
        <v>114.39706556625401</v>
      </c>
      <c r="U41" s="119">
        <f>U8/U19*100</f>
        <v>114.59098497495826</v>
      </c>
      <c r="V41" s="119">
        <f>V8/V19*100</f>
        <v>114.64279536412386</v>
      </c>
    </row>
    <row r="42" spans="1:22" s="69" customFormat="1" ht="22.5">
      <c r="A42" s="120" t="s">
        <v>79</v>
      </c>
      <c r="B42" s="102">
        <v>4412774</v>
      </c>
      <c r="C42" s="102">
        <v>5829724</v>
      </c>
      <c r="D42" s="102">
        <v>5711586</v>
      </c>
      <c r="E42" s="102">
        <v>12784482.78</v>
      </c>
      <c r="F42" s="118">
        <f>E42+F28+F29-F36</f>
        <v>11376997.780000001</v>
      </c>
      <c r="G42" s="118">
        <f>F42+G28-G36</f>
        <v>9055894.780000001</v>
      </c>
      <c r="H42" s="118">
        <f>G42-H36</f>
        <v>6747398.780000001</v>
      </c>
      <c r="I42" s="118">
        <f>H42-I36</f>
        <v>4172478.780000001</v>
      </c>
      <c r="J42" s="118">
        <f>I42-J36</f>
        <v>1657558.7800000012</v>
      </c>
      <c r="K42" s="118">
        <f aca="true" t="shared" si="16" ref="K42:T42">J42+K27+K28+K29+K30-K36-K37</f>
        <v>879638.7800000012</v>
      </c>
      <c r="L42" s="118">
        <f t="shared" si="16"/>
        <v>331718.7800000012</v>
      </c>
      <c r="M42" s="118">
        <f t="shared" si="16"/>
        <v>83798.78000000119</v>
      </c>
      <c r="N42" s="118">
        <f t="shared" si="16"/>
        <v>-164121.2199999988</v>
      </c>
      <c r="O42" s="118">
        <f t="shared" si="16"/>
        <v>-412041.2199999988</v>
      </c>
      <c r="P42" s="118">
        <f t="shared" si="16"/>
        <v>-513961.2199999988</v>
      </c>
      <c r="Q42" s="118">
        <f t="shared" si="16"/>
        <v>-615881.2199999988</v>
      </c>
      <c r="R42" s="118">
        <f t="shared" si="16"/>
        <v>-717801.2199999988</v>
      </c>
      <c r="S42" s="118">
        <f t="shared" si="16"/>
        <v>-819721.2199999988</v>
      </c>
      <c r="T42" s="118">
        <f t="shared" si="16"/>
        <v>-921641.2199999988</v>
      </c>
      <c r="U42" s="118">
        <f>T42+U27+U28+U29+U30-U36-U37</f>
        <v>-1023561.2199999988</v>
      </c>
      <c r="V42" s="118">
        <f>U42+V27+V28+V29+V30-V36-V37</f>
        <v>-1100735.2199999988</v>
      </c>
    </row>
    <row r="43" spans="1:22" ht="22.5">
      <c r="A43" s="101" t="s">
        <v>80</v>
      </c>
      <c r="B43" s="102"/>
      <c r="C43" s="102"/>
      <c r="D43" s="102"/>
      <c r="E43" s="102"/>
      <c r="F43" s="118" t="s">
        <v>46</v>
      </c>
      <c r="G43" s="118" t="s">
        <v>46</v>
      </c>
      <c r="H43" s="118" t="s">
        <v>46</v>
      </c>
      <c r="I43" s="118" t="s">
        <v>46</v>
      </c>
      <c r="J43" s="118" t="s">
        <v>46</v>
      </c>
      <c r="K43" s="118" t="s">
        <v>46</v>
      </c>
      <c r="L43" s="118" t="s">
        <v>46</v>
      </c>
      <c r="M43" s="118" t="s">
        <v>46</v>
      </c>
      <c r="N43" s="118" t="s">
        <v>46</v>
      </c>
      <c r="O43" s="118" t="s">
        <v>46</v>
      </c>
      <c r="P43" s="118" t="s">
        <v>46</v>
      </c>
      <c r="Q43" s="118" t="s">
        <v>46</v>
      </c>
      <c r="R43" s="118" t="s">
        <v>46</v>
      </c>
      <c r="S43" s="118" t="s">
        <v>46</v>
      </c>
      <c r="T43" s="118" t="s">
        <v>46</v>
      </c>
      <c r="U43" s="118" t="s">
        <v>46</v>
      </c>
      <c r="V43" s="118" t="s">
        <v>46</v>
      </c>
    </row>
    <row r="44" spans="1:22" s="91" customFormat="1" ht="46.5" hidden="1">
      <c r="A44" s="120" t="s">
        <v>112</v>
      </c>
      <c r="B44" s="121">
        <v>0</v>
      </c>
      <c r="C44" s="121">
        <v>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</row>
    <row r="45" spans="1:22" s="91" customFormat="1" ht="49.5" hidden="1">
      <c r="A45" s="120" t="s">
        <v>113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</row>
    <row r="46" spans="1:22" ht="67.5">
      <c r="A46" s="120" t="s">
        <v>81</v>
      </c>
      <c r="B46" s="122">
        <f aca="true" t="shared" si="17" ref="B46:T46">B42/B18*100</f>
        <v>12.993637767705321</v>
      </c>
      <c r="C46" s="122">
        <f t="shared" si="17"/>
        <v>20.557061381636746</v>
      </c>
      <c r="D46" s="122">
        <f t="shared" si="17"/>
        <v>18.282870255566575</v>
      </c>
      <c r="E46" s="122">
        <f t="shared" si="17"/>
        <v>34.1414117843296</v>
      </c>
      <c r="F46" s="122">
        <f t="shared" si="17"/>
        <v>26.65614739331787</v>
      </c>
      <c r="G46" s="122">
        <f t="shared" si="17"/>
        <v>24.774626602835884</v>
      </c>
      <c r="H46" s="122">
        <f t="shared" si="17"/>
        <v>18.450639267158877</v>
      </c>
      <c r="I46" s="122">
        <f t="shared" si="17"/>
        <v>11.42869330134105</v>
      </c>
      <c r="J46" s="122">
        <f t="shared" si="17"/>
        <v>4.39204764175941</v>
      </c>
      <c r="K46" s="122">
        <f t="shared" si="17"/>
        <v>2.2608288826405016</v>
      </c>
      <c r="L46" s="122">
        <f t="shared" si="17"/>
        <v>0.8324185194479328</v>
      </c>
      <c r="M46" s="122">
        <f t="shared" si="17"/>
        <v>0.2056916543937192</v>
      </c>
      <c r="N46" s="122">
        <f t="shared" si="17"/>
        <v>-0.3912305601907004</v>
      </c>
      <c r="O46" s="122">
        <f t="shared" si="17"/>
        <v>-0.9534680550734672</v>
      </c>
      <c r="P46" s="122">
        <f t="shared" si="17"/>
        <v>-1.1549690337078624</v>
      </c>
      <c r="Q46" s="122">
        <f t="shared" si="17"/>
        <v>-1.343545418848165</v>
      </c>
      <c r="R46" s="122">
        <f t="shared" si="17"/>
        <v>-1.5204431688201627</v>
      </c>
      <c r="S46" s="122">
        <f t="shared" si="17"/>
        <v>-1.6859753599341811</v>
      </c>
      <c r="T46" s="122">
        <f t="shared" si="17"/>
        <v>-1.8432824399999974</v>
      </c>
      <c r="U46" s="122">
        <f>U42/U18*100</f>
        <v>-1.9844149282667676</v>
      </c>
      <c r="V46" s="122">
        <f>V42/V18*100</f>
        <v>-2.072167206325299</v>
      </c>
    </row>
    <row r="47" spans="1:22" ht="67.5">
      <c r="A47" s="120" t="s">
        <v>82</v>
      </c>
      <c r="B47" s="122">
        <f aca="true" t="shared" si="18" ref="B47:T47">(B42-B48)/B18*100</f>
        <v>12.993637767705321</v>
      </c>
      <c r="C47" s="122">
        <f>(C42-C48)/C18*100</f>
        <v>20.557061381636746</v>
      </c>
      <c r="D47" s="122">
        <f t="shared" si="18"/>
        <v>18.282870255566575</v>
      </c>
      <c r="E47" s="122">
        <f>(E42-E48)/E18*100</f>
        <v>27.637011823821478</v>
      </c>
      <c r="F47" s="122">
        <f t="shared" si="18"/>
        <v>26.65614739331787</v>
      </c>
      <c r="G47" s="122">
        <f t="shared" si="18"/>
        <v>24.774626602835884</v>
      </c>
      <c r="H47" s="122">
        <f t="shared" si="18"/>
        <v>18.450639267158877</v>
      </c>
      <c r="I47" s="122">
        <f t="shared" si="18"/>
        <v>11.42869330134105</v>
      </c>
      <c r="J47" s="122">
        <f t="shared" si="18"/>
        <v>4.39204764175941</v>
      </c>
      <c r="K47" s="122">
        <f t="shared" si="18"/>
        <v>2.2608288826405016</v>
      </c>
      <c r="L47" s="122">
        <f t="shared" si="18"/>
        <v>0.8324185194479328</v>
      </c>
      <c r="M47" s="122">
        <f t="shared" si="18"/>
        <v>0.2056916543937192</v>
      </c>
      <c r="N47" s="122">
        <f t="shared" si="18"/>
        <v>-0.3912305601907004</v>
      </c>
      <c r="O47" s="122">
        <f t="shared" si="18"/>
        <v>-0.9534680550734672</v>
      </c>
      <c r="P47" s="122">
        <f t="shared" si="18"/>
        <v>-1.1549690337078624</v>
      </c>
      <c r="Q47" s="122">
        <f t="shared" si="18"/>
        <v>-1.343545418848165</v>
      </c>
      <c r="R47" s="122">
        <f t="shared" si="18"/>
        <v>-1.5204431688201627</v>
      </c>
      <c r="S47" s="122">
        <f t="shared" si="18"/>
        <v>-1.6859753599341811</v>
      </c>
      <c r="T47" s="122">
        <f t="shared" si="18"/>
        <v>-1.8432824399999974</v>
      </c>
      <c r="U47" s="122">
        <f>(U42-U48)/U18*100</f>
        <v>-1.9844149282667676</v>
      </c>
      <c r="V47" s="122">
        <f>(V42-V48)/V18*100</f>
        <v>-2.072167206325299</v>
      </c>
    </row>
    <row r="48" spans="1:22" s="91" customFormat="1" ht="49.5">
      <c r="A48" s="120" t="s">
        <v>114</v>
      </c>
      <c r="B48" s="121"/>
      <c r="C48" s="121"/>
      <c r="D48" s="121"/>
      <c r="E48" s="121">
        <v>2435616.6</v>
      </c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</row>
    <row r="49" spans="1:22" ht="67.5">
      <c r="A49" s="120" t="s">
        <v>83</v>
      </c>
      <c r="B49" s="122">
        <f>(B20+B21+B22+B36+B37)/B18*100</f>
        <v>4.043095151749788</v>
      </c>
      <c r="C49" s="122">
        <f>(C20+C21+C22+C36+C37)/C18*100</f>
        <v>5.856271762689615</v>
      </c>
      <c r="D49" s="122">
        <f>(D20+D21+D22+D36+D37)/D18*100</f>
        <v>8.14610812256562</v>
      </c>
      <c r="E49" s="122">
        <f aca="true" t="shared" si="19" ref="E49:T49">(E20+E21+E22+E36+E37)/E18*100</f>
        <v>16.06007016510878</v>
      </c>
      <c r="F49" s="122">
        <f>(F20+F21+F22+F36+F37)/F18*100</f>
        <v>20.55526755050037</v>
      </c>
      <c r="G49" s="122">
        <f t="shared" si="19"/>
        <v>7.717820837262435</v>
      </c>
      <c r="H49" s="122">
        <f t="shared" si="19"/>
        <v>7.543057150669948</v>
      </c>
      <c r="I49" s="122">
        <f>(I20+I21+I22+I36+I37)/I18*100</f>
        <v>7.956766587781576</v>
      </c>
      <c r="J49" s="122">
        <f t="shared" si="19"/>
        <v>7.261314255431903</v>
      </c>
      <c r="K49" s="122">
        <f t="shared" si="19"/>
        <v>2.21143318306355</v>
      </c>
      <c r="L49" s="122">
        <f t="shared" si="19"/>
        <v>1.5518695106649938</v>
      </c>
      <c r="M49" s="122">
        <f t="shared" si="19"/>
        <v>0.7570446735395189</v>
      </c>
      <c r="N49" s="122">
        <f t="shared" si="19"/>
        <v>0.7066030989272944</v>
      </c>
      <c r="O49" s="122">
        <f>(O20+O21+O22+O36+O37)/O18*100</f>
        <v>0.6558370936017587</v>
      </c>
      <c r="P49" s="122">
        <f>(P20+P21+P22+P36+P37)/P18*100</f>
        <v>0.2683595505617978</v>
      </c>
      <c r="Q49" s="122">
        <f>(Q20+Q21+Q22+Q36+Q37)/Q18*100</f>
        <v>0.25397033158813265</v>
      </c>
      <c r="R49" s="122">
        <f>(R20+R21+R22+R36+R37)/R18*100</f>
        <v>0.24024571065452233</v>
      </c>
      <c r="S49" s="122">
        <f t="shared" si="19"/>
        <v>0.22710818593171533</v>
      </c>
      <c r="T49" s="122">
        <f t="shared" si="19"/>
        <v>0.21484</v>
      </c>
      <c r="U49" s="122">
        <f>(U20+U21+U22+U36+U37)/U18*100</f>
        <v>0.20244280728964714</v>
      </c>
      <c r="V49" s="122">
        <f>(V20+V21+V22+V36+V37)/V18*100</f>
        <v>0.14622364457831327</v>
      </c>
    </row>
    <row r="50" spans="1:22" ht="67.5">
      <c r="A50" s="120" t="s">
        <v>84</v>
      </c>
      <c r="B50" s="122">
        <f aca="true" t="shared" si="20" ref="B50:T50">(B20+B21+B22+B36+B37-B51)/B18*100</f>
        <v>4.043095151749788</v>
      </c>
      <c r="C50" s="122">
        <f t="shared" si="20"/>
        <v>5.856271762689615</v>
      </c>
      <c r="D50" s="122">
        <f t="shared" si="20"/>
        <v>8.14610812256562</v>
      </c>
      <c r="E50" s="122">
        <f t="shared" si="20"/>
        <v>6.324388259825025</v>
      </c>
      <c r="F50" s="122">
        <f t="shared" si="20"/>
        <v>6.295294313961727</v>
      </c>
      <c r="G50" s="122">
        <f t="shared" si="20"/>
        <v>7.635748461628551</v>
      </c>
      <c r="H50" s="122">
        <f t="shared" si="20"/>
        <v>7.46102269619907</v>
      </c>
      <c r="I50" s="122">
        <f t="shared" si="20"/>
        <v>7.901985274783066</v>
      </c>
      <c r="J50" s="122">
        <f t="shared" si="20"/>
        <v>7.218918918918919</v>
      </c>
      <c r="K50" s="122">
        <f t="shared" si="20"/>
        <v>2.1279023743311107</v>
      </c>
      <c r="L50" s="122">
        <f t="shared" si="20"/>
        <v>1.4778419071518194</v>
      </c>
      <c r="M50" s="122">
        <f t="shared" si="20"/>
        <v>0.6919980363279332</v>
      </c>
      <c r="N50" s="122">
        <f t="shared" si="20"/>
        <v>0.6505840286054827</v>
      </c>
      <c r="O50" s="122">
        <f t="shared" si="20"/>
        <v>0.6083998611593197</v>
      </c>
      <c r="P50" s="122">
        <f t="shared" si="20"/>
        <v>0.22903370786516852</v>
      </c>
      <c r="Q50" s="122">
        <f t="shared" si="20"/>
        <v>0.22015706806282725</v>
      </c>
      <c r="R50" s="122">
        <f t="shared" si="20"/>
        <v>0.21165007413683543</v>
      </c>
      <c r="S50" s="122">
        <f t="shared" si="20"/>
        <v>0.20139860139860138</v>
      </c>
      <c r="T50" s="122">
        <f t="shared" si="20"/>
        <v>0.19784</v>
      </c>
      <c r="U50" s="122">
        <f>(U20+U21+U22+U36+U37-U51)/U18*100</f>
        <v>0.19274912756882512</v>
      </c>
      <c r="V50" s="122">
        <f>(V20+V21+V22+V36+V37-V51)/V18*100</f>
        <v>0.14151731927710842</v>
      </c>
    </row>
    <row r="51" spans="1:22" s="91" customFormat="1" ht="94.5">
      <c r="A51" s="120" t="s">
        <v>115</v>
      </c>
      <c r="B51" s="121"/>
      <c r="C51" s="121"/>
      <c r="D51" s="121"/>
      <c r="E51" s="121">
        <v>3645592</v>
      </c>
      <c r="F51" s="121">
        <v>6086239</v>
      </c>
      <c r="G51" s="121">
        <f>30000+Harmonogram!H14</f>
        <v>30000</v>
      </c>
      <c r="H51" s="121">
        <f>30000+Harmonogram!J14</f>
        <v>30000</v>
      </c>
      <c r="I51" s="121">
        <f>20000+Harmonogram!N14</f>
        <v>20000</v>
      </c>
      <c r="J51" s="121">
        <f>16000+Harmonogram!N14</f>
        <v>16000</v>
      </c>
      <c r="K51" s="121">
        <v>32500</v>
      </c>
      <c r="L51" s="121">
        <v>29500</v>
      </c>
      <c r="M51" s="121">
        <v>26500</v>
      </c>
      <c r="N51" s="121">
        <v>23500</v>
      </c>
      <c r="O51" s="121">
        <v>20500</v>
      </c>
      <c r="P51" s="121">
        <v>17500</v>
      </c>
      <c r="Q51" s="121">
        <v>15500</v>
      </c>
      <c r="R51" s="121">
        <v>13500</v>
      </c>
      <c r="S51" s="121">
        <v>12500</v>
      </c>
      <c r="T51" s="121">
        <v>8500</v>
      </c>
      <c r="U51" s="121">
        <v>5000</v>
      </c>
      <c r="V51" s="121">
        <v>2500</v>
      </c>
    </row>
    <row r="52" spans="1:23" ht="45">
      <c r="A52" s="120" t="s">
        <v>85</v>
      </c>
      <c r="B52" s="123" t="s">
        <v>46</v>
      </c>
      <c r="C52" s="123" t="s">
        <v>46</v>
      </c>
      <c r="D52" s="123" t="s">
        <v>46</v>
      </c>
      <c r="E52" s="123" t="s">
        <v>46</v>
      </c>
      <c r="F52" s="124">
        <f>F8+F32+F33-F19</f>
        <v>3403275</v>
      </c>
      <c r="G52" s="124">
        <f aca="true" t="shared" si="21" ref="G52:T52">G8+G32+G33-G19</f>
        <v>4038103</v>
      </c>
      <c r="H52" s="124">
        <f t="shared" si="21"/>
        <v>4212000</v>
      </c>
      <c r="I52" s="124">
        <f t="shared" si="21"/>
        <v>4570720</v>
      </c>
      <c r="J52" s="124">
        <f t="shared" si="21"/>
        <v>4962000</v>
      </c>
      <c r="K52" s="124">
        <f t="shared" si="21"/>
        <v>5298378</v>
      </c>
      <c r="L52" s="124">
        <f t="shared" si="21"/>
        <v>5249800</v>
      </c>
      <c r="M52" s="124">
        <f t="shared" si="21"/>
        <v>5116880</v>
      </c>
      <c r="N52" s="124">
        <f t="shared" si="21"/>
        <v>5275000</v>
      </c>
      <c r="O52" s="124">
        <f t="shared" si="21"/>
        <v>5458000</v>
      </c>
      <c r="P52" s="124">
        <f t="shared" si="21"/>
        <v>5632000</v>
      </c>
      <c r="Q52" s="124">
        <f t="shared" si="21"/>
        <v>5812100</v>
      </c>
      <c r="R52" s="124">
        <f t="shared" si="21"/>
        <v>5987600</v>
      </c>
      <c r="S52" s="124">
        <f t="shared" si="21"/>
        <v>6167300</v>
      </c>
      <c r="T52" s="124">
        <f t="shared" si="21"/>
        <v>6280000</v>
      </c>
      <c r="U52" s="124">
        <f>U8+U32+U33-U19</f>
        <v>6555000</v>
      </c>
      <c r="V52" s="124">
        <f>V8+V32+V33-V19</f>
        <v>6772000</v>
      </c>
      <c r="W52" s="125"/>
    </row>
    <row r="53" spans="1:22" ht="45">
      <c r="A53" s="120" t="s">
        <v>86</v>
      </c>
      <c r="B53" s="126"/>
      <c r="C53" s="126"/>
      <c r="D53" s="126"/>
      <c r="E53" s="127">
        <f>(E36+E37+E20+E21+E22-E51)/E18</f>
        <v>0.06324388259825026</v>
      </c>
      <c r="F53" s="127">
        <f>(F36+F37+F20+F21+F22-F51)/F18</f>
        <v>0.06295294313961727</v>
      </c>
      <c r="G53" s="127">
        <f>(G36+G37+G20+G21+G22-G51)/G18</f>
        <v>0.07635748461628551</v>
      </c>
      <c r="H53" s="127">
        <f>(H36+H37+H20+H21+H22-H51)/H18</f>
        <v>0.0746102269619907</v>
      </c>
      <c r="I53" s="127">
        <f aca="true" t="shared" si="22" ref="I53:T53">(I36+I37+I20+I21+I22-I51)/I18</f>
        <v>0.07901985274783066</v>
      </c>
      <c r="J53" s="127">
        <f t="shared" si="22"/>
        <v>0.07218918918918919</v>
      </c>
      <c r="K53" s="127">
        <f t="shared" si="22"/>
        <v>0.021279023743311108</v>
      </c>
      <c r="L53" s="127">
        <f t="shared" si="22"/>
        <v>0.014778419071518193</v>
      </c>
      <c r="M53" s="127">
        <f t="shared" si="22"/>
        <v>0.006919980363279332</v>
      </c>
      <c r="N53" s="127">
        <f t="shared" si="22"/>
        <v>0.006505840286054827</v>
      </c>
      <c r="O53" s="127">
        <f t="shared" si="22"/>
        <v>0.006083998611593196</v>
      </c>
      <c r="P53" s="127">
        <f t="shared" si="22"/>
        <v>0.0022903370786516854</v>
      </c>
      <c r="Q53" s="127">
        <f t="shared" si="22"/>
        <v>0.0022015706806282724</v>
      </c>
      <c r="R53" s="127">
        <f t="shared" si="22"/>
        <v>0.002116500741368354</v>
      </c>
      <c r="S53" s="127">
        <f t="shared" si="22"/>
        <v>0.002013986013986014</v>
      </c>
      <c r="T53" s="127">
        <f t="shared" si="22"/>
        <v>0.0019784</v>
      </c>
      <c r="U53" s="127">
        <f>(U36+U37+U20+U21+U22-U51)/U18</f>
        <v>0.0019274912756882512</v>
      </c>
      <c r="V53" s="127">
        <f>(V36+V37+V20+V21+V22-V51)/V18</f>
        <v>0.0014151731927710843</v>
      </c>
    </row>
    <row r="54" spans="1:22" ht="67.5">
      <c r="A54" s="128" t="s">
        <v>88</v>
      </c>
      <c r="B54" s="129"/>
      <c r="C54" s="129"/>
      <c r="D54" s="129"/>
      <c r="E54" s="130" t="str">
        <f>IF(E53&lt;=E55,"TAK","NIE")</f>
        <v>TAK</v>
      </c>
      <c r="F54" s="130" t="str">
        <f aca="true" t="shared" si="23" ref="F54:T54">IF(F53&lt;=F55,"TAK","NIE")</f>
        <v>TAK</v>
      </c>
      <c r="G54" s="130" t="str">
        <f t="shared" si="23"/>
        <v>TAK</v>
      </c>
      <c r="H54" s="130" t="str">
        <f t="shared" si="23"/>
        <v>TAK</v>
      </c>
      <c r="I54" s="130" t="str">
        <f t="shared" si="23"/>
        <v>TAK</v>
      </c>
      <c r="J54" s="130" t="str">
        <f t="shared" si="23"/>
        <v>TAK</v>
      </c>
      <c r="K54" s="130" t="str">
        <f t="shared" si="23"/>
        <v>TAK</v>
      </c>
      <c r="L54" s="130" t="str">
        <f t="shared" si="23"/>
        <v>TAK</v>
      </c>
      <c r="M54" s="130" t="str">
        <f t="shared" si="23"/>
        <v>TAK</v>
      </c>
      <c r="N54" s="130" t="str">
        <f t="shared" si="23"/>
        <v>TAK</v>
      </c>
      <c r="O54" s="130" t="str">
        <f t="shared" si="23"/>
        <v>TAK</v>
      </c>
      <c r="P54" s="130" t="str">
        <f t="shared" si="23"/>
        <v>TAK</v>
      </c>
      <c r="Q54" s="130" t="str">
        <f t="shared" si="23"/>
        <v>TAK</v>
      </c>
      <c r="R54" s="130" t="str">
        <f t="shared" si="23"/>
        <v>TAK</v>
      </c>
      <c r="S54" s="130" t="str">
        <f t="shared" si="23"/>
        <v>TAK</v>
      </c>
      <c r="T54" s="130" t="str">
        <f t="shared" si="23"/>
        <v>TAK</v>
      </c>
      <c r="U54" s="130" t="str">
        <f>IF(U53&lt;=U55,"TAK","NIE")</f>
        <v>TAK</v>
      </c>
      <c r="V54" s="130" t="str">
        <f>IF(V53&lt;=V55,"TAK","NIE")</f>
        <v>TAK</v>
      </c>
    </row>
    <row r="55" spans="1:22" ht="45">
      <c r="A55" s="120" t="s">
        <v>87</v>
      </c>
      <c r="B55" s="126"/>
      <c r="C55" s="126"/>
      <c r="D55" s="126"/>
      <c r="E55" s="127">
        <f>1/3*((D8+D15-D19)/D18+(C8+C15-C19)/C18+(B8+B15-B19)/B18)</f>
        <v>0.14806204269923962</v>
      </c>
      <c r="F55" s="127">
        <f>1/3*((E8+E15-E19)/E18+(D8+D15-D19)/D18+(C8+C15-C19)/C18)</f>
        <v>0.11816281397120483</v>
      </c>
      <c r="G55" s="127">
        <f>1/3*((F8+F15-F19)/F18+(E8+E15-E19)/E18+(D8+D15-D19)/D18)</f>
        <v>0.08435932315345891</v>
      </c>
      <c r="H55" s="127">
        <f aca="true" t="shared" si="24" ref="H55:T55">1/3*((G8+G15-G19)/G18+(F8+F15-F19)/F18+(E8+E15-E19)/E18)</f>
        <v>0.07464440691463989</v>
      </c>
      <c r="I55" s="127">
        <f t="shared" si="24"/>
        <v>0.10191136240819967</v>
      </c>
      <c r="J55" s="127">
        <f t="shared" si="24"/>
        <v>0.11968430809763575</v>
      </c>
      <c r="K55" s="127">
        <f t="shared" si="24"/>
        <v>0.12665772963665342</v>
      </c>
      <c r="L55" s="127">
        <f t="shared" si="24"/>
        <v>0.1336034320501694</v>
      </c>
      <c r="M55" s="127">
        <f t="shared" si="24"/>
        <v>0.13570821354829257</v>
      </c>
      <c r="N55" s="127">
        <f t="shared" si="24"/>
        <v>0.13368313796590953</v>
      </c>
      <c r="O55" s="127">
        <f t="shared" si="24"/>
        <v>0.13014339181220036</v>
      </c>
      <c r="P55" s="127">
        <f t="shared" si="24"/>
        <v>0.12826483134016914</v>
      </c>
      <c r="Q55" s="127">
        <f t="shared" si="24"/>
        <v>0.12851682121291658</v>
      </c>
      <c r="R55" s="127">
        <f t="shared" si="24"/>
        <v>0.1287980840185087</v>
      </c>
      <c r="S55" s="127">
        <f t="shared" si="24"/>
        <v>0.12890958626337992</v>
      </c>
      <c r="T55" s="127">
        <f t="shared" si="24"/>
        <v>0.12894117111386763</v>
      </c>
      <c r="U55" s="127">
        <f>1/3*((T8+T15-T19)/T18+(S8+S15-S19)/S18+(R8+R15-R19)/R18)</f>
        <v>0.12848366675086587</v>
      </c>
      <c r="V55" s="127">
        <f>1/3*((U8+U15-U19)/U18+(T8+T15-T19)/T18+(S8+S15-S19)/S18)</f>
        <v>0.1285088734665497</v>
      </c>
    </row>
    <row r="57" ht="22.5">
      <c r="A57" s="69" t="s">
        <v>35</v>
      </c>
    </row>
    <row r="58" spans="1:22" ht="27">
      <c r="A58" s="131" t="s">
        <v>116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</row>
    <row r="59" spans="1:22" ht="27">
      <c r="A59" s="131" t="s">
        <v>117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</row>
    <row r="60" ht="27">
      <c r="A60" s="69" t="s">
        <v>118</v>
      </c>
    </row>
    <row r="61" ht="27">
      <c r="A61" s="69" t="s">
        <v>119</v>
      </c>
    </row>
    <row r="62" ht="27">
      <c r="A62" s="69" t="s">
        <v>120</v>
      </c>
    </row>
    <row r="65" spans="1:9" ht="22.5">
      <c r="A65" s="133" t="s">
        <v>4</v>
      </c>
      <c r="B65" s="70" t="s">
        <v>94</v>
      </c>
      <c r="E65" s="70" t="s">
        <v>5</v>
      </c>
      <c r="I65" s="70" t="s">
        <v>96</v>
      </c>
    </row>
    <row r="66" spans="1:4" ht="22.5">
      <c r="A66" s="69" t="s">
        <v>68</v>
      </c>
      <c r="B66" s="91" t="s">
        <v>95</v>
      </c>
      <c r="C66" s="91"/>
      <c r="D66" s="91"/>
    </row>
    <row r="67" spans="1:4" ht="22.5">
      <c r="A67" s="69" t="s">
        <v>6</v>
      </c>
      <c r="B67" s="91" t="s">
        <v>103</v>
      </c>
      <c r="C67" s="91"/>
      <c r="D67" s="91"/>
    </row>
  </sheetData>
  <sheetProtection/>
  <mergeCells count="3">
    <mergeCell ref="F6:V6"/>
    <mergeCell ref="F1:J1"/>
    <mergeCell ref="A3:C3"/>
  </mergeCells>
  <printOptions/>
  <pageMargins left="0" right="0" top="0.28" bottom="0.3937007874015748" header="0.17" footer="0.5118110236220472"/>
  <pageSetup fitToWidth="2" fitToHeight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8"/>
  <sheetViews>
    <sheetView zoomScalePageLayoutView="0" workbookViewId="0" topLeftCell="P1">
      <selection activeCell="Q7" sqref="Q7"/>
    </sheetView>
  </sheetViews>
  <sheetFormatPr defaultColWidth="9.00390625" defaultRowHeight="12.75"/>
  <cols>
    <col min="1" max="1" width="4.00390625" style="10" customWidth="1"/>
    <col min="2" max="2" width="23.375" style="10" customWidth="1"/>
    <col min="3" max="22" width="9.75390625" style="10" customWidth="1"/>
    <col min="23" max="34" width="9.75390625" style="10" hidden="1" customWidth="1"/>
    <col min="35" max="50" width="9.75390625" style="10" customWidth="1"/>
    <col min="51" max="51" width="13.25390625" style="10" customWidth="1"/>
    <col min="52" max="52" width="10.125" style="10" bestFit="1" customWidth="1"/>
    <col min="53" max="16384" width="9.125" style="10" customWidth="1"/>
  </cols>
  <sheetData>
    <row r="1" spans="5:50" ht="41.25" customHeight="1">
      <c r="E1" s="29"/>
      <c r="F1" s="29"/>
      <c r="G1" s="29"/>
      <c r="H1" s="29"/>
      <c r="I1" s="29"/>
      <c r="J1" s="29"/>
      <c r="K1" s="63" t="s">
        <v>28</v>
      </c>
      <c r="L1" s="63"/>
      <c r="M1" s="63"/>
      <c r="N1" s="30"/>
      <c r="O1" s="30"/>
      <c r="P1" s="30"/>
      <c r="Q1" s="30"/>
      <c r="R1" s="30"/>
      <c r="S1" s="30"/>
      <c r="Z1" s="65" t="s">
        <v>28</v>
      </c>
      <c r="AA1" s="65"/>
      <c r="AB1" s="65"/>
      <c r="AC1" s="65"/>
      <c r="AD1" s="65"/>
      <c r="AE1" s="65"/>
      <c r="AF1" s="65"/>
      <c r="AG1" s="65"/>
      <c r="AH1" s="65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ht="21" customHeight="1">
      <c r="E2" s="15" t="s">
        <v>27</v>
      </c>
    </row>
    <row r="3" ht="17.25" customHeight="1"/>
    <row r="4" spans="1:50" ht="19.5" customHeight="1">
      <c r="A4" s="67" t="s">
        <v>24</v>
      </c>
      <c r="B4" s="66" t="s">
        <v>21</v>
      </c>
      <c r="C4" s="64" t="s">
        <v>20</v>
      </c>
      <c r="D4" s="64"/>
      <c r="E4" s="64" t="s">
        <v>38</v>
      </c>
      <c r="F4" s="64"/>
      <c r="G4" s="64" t="s">
        <v>39</v>
      </c>
      <c r="H4" s="64"/>
      <c r="I4" s="64" t="s">
        <v>40</v>
      </c>
      <c r="J4" s="64"/>
      <c r="K4" s="64" t="s">
        <v>41</v>
      </c>
      <c r="L4" s="64"/>
      <c r="M4" s="64" t="s">
        <v>42</v>
      </c>
      <c r="N4" s="64"/>
      <c r="O4" s="64" t="s">
        <v>43</v>
      </c>
      <c r="P4" s="64"/>
      <c r="Q4" s="64" t="s">
        <v>44</v>
      </c>
      <c r="R4" s="64"/>
      <c r="S4" s="64" t="s">
        <v>45</v>
      </c>
      <c r="T4" s="64"/>
      <c r="U4" s="64" t="s">
        <v>52</v>
      </c>
      <c r="V4" s="64"/>
      <c r="W4" s="64" t="s">
        <v>53</v>
      </c>
      <c r="X4" s="64"/>
      <c r="Y4" s="64" t="s">
        <v>54</v>
      </c>
      <c r="Z4" s="64"/>
      <c r="AA4" s="64" t="s">
        <v>55</v>
      </c>
      <c r="AB4" s="64"/>
      <c r="AC4" s="64" t="s">
        <v>56</v>
      </c>
      <c r="AD4" s="64"/>
      <c r="AE4" s="64" t="s">
        <v>57</v>
      </c>
      <c r="AF4" s="64"/>
      <c r="AG4" s="64" t="s">
        <v>77</v>
      </c>
      <c r="AH4" s="64"/>
      <c r="AI4" s="64" t="s">
        <v>53</v>
      </c>
      <c r="AJ4" s="64"/>
      <c r="AK4" s="64" t="s">
        <v>54</v>
      </c>
      <c r="AL4" s="64"/>
      <c r="AM4" s="64" t="s">
        <v>55</v>
      </c>
      <c r="AN4" s="64"/>
      <c r="AO4" s="64" t="s">
        <v>56</v>
      </c>
      <c r="AP4" s="64"/>
      <c r="AQ4" s="64" t="s">
        <v>57</v>
      </c>
      <c r="AR4" s="64"/>
      <c r="AS4" s="64" t="s">
        <v>77</v>
      </c>
      <c r="AT4" s="64"/>
      <c r="AU4" s="64" t="s">
        <v>97</v>
      </c>
      <c r="AV4" s="64"/>
      <c r="AW4" s="64" t="s">
        <v>98</v>
      </c>
      <c r="AX4" s="64"/>
    </row>
    <row r="5" spans="1:50" ht="21" customHeight="1">
      <c r="A5" s="67"/>
      <c r="B5" s="66"/>
      <c r="C5" s="31" t="s">
        <v>18</v>
      </c>
      <c r="D5" s="31" t="s">
        <v>19</v>
      </c>
      <c r="E5" s="31" t="s">
        <v>18</v>
      </c>
      <c r="F5" s="31" t="s">
        <v>19</v>
      </c>
      <c r="G5" s="31" t="s">
        <v>18</v>
      </c>
      <c r="H5" s="31" t="s">
        <v>19</v>
      </c>
      <c r="I5" s="31" t="s">
        <v>18</v>
      </c>
      <c r="J5" s="31" t="s">
        <v>19</v>
      </c>
      <c r="K5" s="31" t="s">
        <v>18</v>
      </c>
      <c r="L5" s="31" t="s">
        <v>19</v>
      </c>
      <c r="M5" s="31" t="s">
        <v>18</v>
      </c>
      <c r="N5" s="31" t="s">
        <v>19</v>
      </c>
      <c r="O5" s="31" t="s">
        <v>18</v>
      </c>
      <c r="P5" s="31" t="s">
        <v>19</v>
      </c>
      <c r="Q5" s="31" t="s">
        <v>18</v>
      </c>
      <c r="R5" s="31" t="s">
        <v>19</v>
      </c>
      <c r="S5" s="31" t="s">
        <v>18</v>
      </c>
      <c r="T5" s="31" t="s">
        <v>19</v>
      </c>
      <c r="U5" s="31" t="s">
        <v>18</v>
      </c>
      <c r="V5" s="31" t="s">
        <v>19</v>
      </c>
      <c r="W5" s="31" t="s">
        <v>18</v>
      </c>
      <c r="X5" s="31" t="s">
        <v>19</v>
      </c>
      <c r="Y5" s="31" t="s">
        <v>18</v>
      </c>
      <c r="Z5" s="31" t="s">
        <v>19</v>
      </c>
      <c r="AA5" s="31" t="s">
        <v>18</v>
      </c>
      <c r="AB5" s="31" t="s">
        <v>19</v>
      </c>
      <c r="AC5" s="31" t="s">
        <v>18</v>
      </c>
      <c r="AD5" s="31" t="s">
        <v>19</v>
      </c>
      <c r="AE5" s="31" t="s">
        <v>18</v>
      </c>
      <c r="AF5" s="31" t="s">
        <v>19</v>
      </c>
      <c r="AG5" s="31" t="s">
        <v>18</v>
      </c>
      <c r="AH5" s="31" t="s">
        <v>19</v>
      </c>
      <c r="AI5" s="31" t="s">
        <v>18</v>
      </c>
      <c r="AJ5" s="31" t="s">
        <v>19</v>
      </c>
      <c r="AK5" s="31" t="s">
        <v>18</v>
      </c>
      <c r="AL5" s="31" t="s">
        <v>19</v>
      </c>
      <c r="AM5" s="31" t="s">
        <v>18</v>
      </c>
      <c r="AN5" s="31" t="s">
        <v>19</v>
      </c>
      <c r="AO5" s="31" t="s">
        <v>18</v>
      </c>
      <c r="AP5" s="31" t="s">
        <v>19</v>
      </c>
      <c r="AQ5" s="31" t="s">
        <v>18</v>
      </c>
      <c r="AR5" s="31" t="s">
        <v>19</v>
      </c>
      <c r="AS5" s="31" t="s">
        <v>18</v>
      </c>
      <c r="AT5" s="31" t="s">
        <v>19</v>
      </c>
      <c r="AU5" s="31" t="s">
        <v>18</v>
      </c>
      <c r="AV5" s="31" t="s">
        <v>19</v>
      </c>
      <c r="AW5" s="31" t="s">
        <v>18</v>
      </c>
      <c r="AX5" s="31" t="s">
        <v>19</v>
      </c>
    </row>
    <row r="6" spans="1:59" ht="27" customHeight="1">
      <c r="A6" s="32" t="s">
        <v>29</v>
      </c>
      <c r="B6" s="33" t="s">
        <v>31</v>
      </c>
      <c r="C6" s="34">
        <f>C7+C8</f>
        <v>5663802</v>
      </c>
      <c r="D6" s="34">
        <f aca="true" t="shared" si="0" ref="D6:BB6">D7+D8</f>
        <v>350000</v>
      </c>
      <c r="E6" s="34">
        <f t="shared" si="0"/>
        <v>8173107</v>
      </c>
      <c r="F6" s="34">
        <f t="shared" si="0"/>
        <v>600000</v>
      </c>
      <c r="G6" s="34">
        <f t="shared" si="0"/>
        <v>2321103</v>
      </c>
      <c r="H6" s="34">
        <f t="shared" si="0"/>
        <v>500000</v>
      </c>
      <c r="I6" s="34">
        <f t="shared" si="0"/>
        <v>2308496</v>
      </c>
      <c r="J6" s="34">
        <f t="shared" si="0"/>
        <v>450000</v>
      </c>
      <c r="K6" s="34">
        <f t="shared" si="0"/>
        <v>2574920</v>
      </c>
      <c r="L6" s="34">
        <f t="shared" si="0"/>
        <v>330000</v>
      </c>
      <c r="M6" s="34">
        <f t="shared" si="0"/>
        <v>2514920</v>
      </c>
      <c r="N6" s="34">
        <f t="shared" si="0"/>
        <v>225500</v>
      </c>
      <c r="O6" s="34">
        <f t="shared" si="0"/>
        <v>777920</v>
      </c>
      <c r="P6" s="34">
        <f t="shared" si="0"/>
        <v>82500</v>
      </c>
      <c r="Q6" s="34">
        <f t="shared" si="0"/>
        <v>547920</v>
      </c>
      <c r="R6" s="34">
        <f t="shared" si="0"/>
        <v>70500</v>
      </c>
      <c r="S6" s="34">
        <f t="shared" si="0"/>
        <v>247920</v>
      </c>
      <c r="T6" s="34">
        <f t="shared" si="0"/>
        <v>60500</v>
      </c>
      <c r="U6" s="34">
        <f t="shared" si="0"/>
        <v>247920</v>
      </c>
      <c r="V6" s="34">
        <f t="shared" si="0"/>
        <v>48500</v>
      </c>
      <c r="W6" s="34">
        <f t="shared" si="0"/>
        <v>0</v>
      </c>
      <c r="X6" s="34">
        <f t="shared" si="0"/>
        <v>0</v>
      </c>
      <c r="Y6" s="34">
        <f t="shared" si="0"/>
        <v>0</v>
      </c>
      <c r="Z6" s="34">
        <f t="shared" si="0"/>
        <v>0</v>
      </c>
      <c r="AA6" s="34">
        <f t="shared" si="0"/>
        <v>0</v>
      </c>
      <c r="AB6" s="34">
        <f t="shared" si="0"/>
        <v>0</v>
      </c>
      <c r="AC6" s="34">
        <f t="shared" si="0"/>
        <v>0</v>
      </c>
      <c r="AD6" s="34">
        <f t="shared" si="0"/>
        <v>0</v>
      </c>
      <c r="AE6" s="34">
        <f t="shared" si="0"/>
        <v>0</v>
      </c>
      <c r="AF6" s="34">
        <f t="shared" si="0"/>
        <v>0</v>
      </c>
      <c r="AG6" s="34">
        <f t="shared" si="0"/>
        <v>0</v>
      </c>
      <c r="AH6" s="34">
        <f t="shared" si="0"/>
        <v>0</v>
      </c>
      <c r="AI6" s="34">
        <f t="shared" si="0"/>
        <v>247920</v>
      </c>
      <c r="AJ6" s="34">
        <f t="shared" si="0"/>
        <v>35500</v>
      </c>
      <c r="AK6" s="34">
        <f t="shared" si="0"/>
        <v>101920</v>
      </c>
      <c r="AL6" s="34">
        <f t="shared" si="0"/>
        <v>17500</v>
      </c>
      <c r="AM6" s="34">
        <f t="shared" si="0"/>
        <v>101920</v>
      </c>
      <c r="AN6" s="34">
        <f t="shared" si="0"/>
        <v>14500</v>
      </c>
      <c r="AO6" s="34">
        <f t="shared" si="0"/>
        <v>101920</v>
      </c>
      <c r="AP6" s="34">
        <f t="shared" si="0"/>
        <v>11500</v>
      </c>
      <c r="AQ6" s="34">
        <f t="shared" si="0"/>
        <v>101920</v>
      </c>
      <c r="AR6" s="34">
        <f t="shared" si="0"/>
        <v>8500</v>
      </c>
      <c r="AS6" s="34">
        <f t="shared" si="0"/>
        <v>101920</v>
      </c>
      <c r="AT6" s="34">
        <f t="shared" si="0"/>
        <v>5500</v>
      </c>
      <c r="AU6" s="34">
        <f t="shared" si="0"/>
        <v>101920</v>
      </c>
      <c r="AV6" s="34">
        <f t="shared" si="0"/>
        <v>2500</v>
      </c>
      <c r="AW6" s="34">
        <f t="shared" si="0"/>
        <v>77174</v>
      </c>
      <c r="AX6" s="34">
        <f t="shared" si="0"/>
        <v>500</v>
      </c>
      <c r="AY6" s="34">
        <f t="shared" si="0"/>
        <v>23964028</v>
      </c>
      <c r="AZ6" s="34">
        <f t="shared" si="0"/>
        <v>12925651</v>
      </c>
      <c r="BA6" s="34">
        <f t="shared" si="0"/>
        <v>0</v>
      </c>
      <c r="BB6" s="34">
        <f t="shared" si="0"/>
        <v>0</v>
      </c>
      <c r="BC6" s="34">
        <f>BC7+BC8</f>
        <v>0</v>
      </c>
      <c r="BD6" s="34">
        <f>BD7+BD8</f>
        <v>0</v>
      </c>
      <c r="BE6" s="34">
        <f>BE7+BE8</f>
        <v>0</v>
      </c>
      <c r="BF6" s="34">
        <f>BF7+BF8</f>
        <v>0</v>
      </c>
      <c r="BG6" s="34">
        <f>BG7+BG8</f>
        <v>0</v>
      </c>
    </row>
    <row r="7" spans="1:52" ht="18" customHeight="1">
      <c r="A7" s="35">
        <v>1</v>
      </c>
      <c r="B7" s="36" t="s">
        <v>32</v>
      </c>
      <c r="C7" s="34">
        <v>1735871</v>
      </c>
      <c r="D7" s="34">
        <v>321500</v>
      </c>
      <c r="E7" s="34">
        <v>2007918</v>
      </c>
      <c r="F7" s="34">
        <v>500000</v>
      </c>
      <c r="G7" s="34">
        <f>2233000+88103</f>
        <v>2321103</v>
      </c>
      <c r="H7" s="34">
        <v>458000</v>
      </c>
      <c r="I7" s="34">
        <f>2233000+50000</f>
        <v>2283000</v>
      </c>
      <c r="J7" s="34">
        <v>409000</v>
      </c>
      <c r="K7" s="34">
        <f>2173000+300000</f>
        <v>2473000</v>
      </c>
      <c r="L7" s="34">
        <v>291500</v>
      </c>
      <c r="M7" s="34">
        <f>1963000+450000</f>
        <v>2413000</v>
      </c>
      <c r="N7" s="34">
        <v>190000</v>
      </c>
      <c r="O7" s="34">
        <f>176000+500000</f>
        <v>676000</v>
      </c>
      <c r="P7" s="34">
        <v>50000</v>
      </c>
      <c r="Q7" s="34">
        <f>146000+300000</f>
        <v>446000</v>
      </c>
      <c r="R7" s="34">
        <v>41000</v>
      </c>
      <c r="S7" s="34">
        <v>146000</v>
      </c>
      <c r="T7" s="34">
        <v>34000</v>
      </c>
      <c r="U7" s="34">
        <v>146000</v>
      </c>
      <c r="V7" s="34">
        <v>25000</v>
      </c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>
        <v>146000</v>
      </c>
      <c r="AJ7" s="34">
        <v>15000</v>
      </c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>
        <f>C7+E7+G7+I7+K7+M7</f>
        <v>13233892</v>
      </c>
      <c r="AZ7" s="37">
        <f>E7+G7+I7+K7+M7</f>
        <v>11498021</v>
      </c>
    </row>
    <row r="8" spans="1:52" ht="19.5" customHeight="1">
      <c r="A8" s="35">
        <v>2</v>
      </c>
      <c r="B8" s="36" t="s">
        <v>33</v>
      </c>
      <c r="C8" s="34">
        <v>3927931</v>
      </c>
      <c r="D8" s="34">
        <v>28500</v>
      </c>
      <c r="E8" s="34">
        <f>4376281-64360-41668+1894936</f>
        <v>6165189</v>
      </c>
      <c r="F8" s="34">
        <v>100000</v>
      </c>
      <c r="G8" s="34">
        <v>0</v>
      </c>
      <c r="H8" s="34">
        <v>42000</v>
      </c>
      <c r="I8" s="34">
        <v>25496</v>
      </c>
      <c r="J8" s="34">
        <v>41000</v>
      </c>
      <c r="K8" s="34">
        <v>101920</v>
      </c>
      <c r="L8" s="34">
        <v>38500</v>
      </c>
      <c r="M8" s="34">
        <v>101920</v>
      </c>
      <c r="N8" s="34">
        <v>35500</v>
      </c>
      <c r="O8" s="34">
        <v>101920</v>
      </c>
      <c r="P8" s="34">
        <v>32500</v>
      </c>
      <c r="Q8" s="34">
        <v>101920</v>
      </c>
      <c r="R8" s="34">
        <v>29500</v>
      </c>
      <c r="S8" s="34">
        <v>101920</v>
      </c>
      <c r="T8" s="34">
        <v>26500</v>
      </c>
      <c r="U8" s="34">
        <v>101920</v>
      </c>
      <c r="V8" s="34">
        <v>23500</v>
      </c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>
        <v>101920</v>
      </c>
      <c r="AJ8" s="34">
        <v>20500</v>
      </c>
      <c r="AK8" s="34">
        <v>101920</v>
      </c>
      <c r="AL8" s="34">
        <v>17500</v>
      </c>
      <c r="AM8" s="34">
        <v>101920</v>
      </c>
      <c r="AN8" s="34">
        <v>14500</v>
      </c>
      <c r="AO8" s="34">
        <v>101920</v>
      </c>
      <c r="AP8" s="34">
        <v>11500</v>
      </c>
      <c r="AQ8" s="34">
        <v>101920</v>
      </c>
      <c r="AR8" s="34">
        <v>8500</v>
      </c>
      <c r="AS8" s="34">
        <v>101920</v>
      </c>
      <c r="AT8" s="34">
        <v>5500</v>
      </c>
      <c r="AU8" s="34">
        <v>101920</v>
      </c>
      <c r="AV8" s="34">
        <v>2500</v>
      </c>
      <c r="AW8" s="34">
        <v>77174</v>
      </c>
      <c r="AX8" s="34">
        <v>500</v>
      </c>
      <c r="AY8" s="34">
        <f>C8+E8+G8+I8+K8+M8+O8+Q8+S8+U8</f>
        <v>10730136</v>
      </c>
      <c r="AZ8" s="37">
        <f>I8+K8+M8+O8+Q8+S8+U8+AI8+AK8+AM8+AO8+AQ8+AS8+AU8+AW8</f>
        <v>1427630</v>
      </c>
    </row>
    <row r="9" spans="1:51" ht="28.5" customHeight="1" thickBot="1">
      <c r="A9" s="38">
        <v>3</v>
      </c>
      <c r="B9" s="39" t="s">
        <v>22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34">
        <f>C9+E9+G9+I9+K9+M9+O9+Q9+S9+U9</f>
        <v>0</v>
      </c>
    </row>
    <row r="10" spans="1:51" ht="25.5" customHeight="1" thickBot="1">
      <c r="A10" s="26"/>
      <c r="B10" s="27" t="s">
        <v>23</v>
      </c>
      <c r="C10" s="28">
        <f>C7+C8+C9</f>
        <v>5663802</v>
      </c>
      <c r="D10" s="28">
        <f aca="true" t="shared" si="1" ref="D10:AX10">D7+D8+D9</f>
        <v>350000</v>
      </c>
      <c r="E10" s="28">
        <f t="shared" si="1"/>
        <v>8173107</v>
      </c>
      <c r="F10" s="28">
        <f t="shared" si="1"/>
        <v>600000</v>
      </c>
      <c r="G10" s="28">
        <f t="shared" si="1"/>
        <v>2321103</v>
      </c>
      <c r="H10" s="28">
        <f t="shared" si="1"/>
        <v>500000</v>
      </c>
      <c r="I10" s="28">
        <f t="shared" si="1"/>
        <v>2308496</v>
      </c>
      <c r="J10" s="28">
        <f t="shared" si="1"/>
        <v>450000</v>
      </c>
      <c r="K10" s="28">
        <f t="shared" si="1"/>
        <v>2574920</v>
      </c>
      <c r="L10" s="28">
        <f t="shared" si="1"/>
        <v>330000</v>
      </c>
      <c r="M10" s="28">
        <f t="shared" si="1"/>
        <v>2514920</v>
      </c>
      <c r="N10" s="28">
        <f t="shared" si="1"/>
        <v>225500</v>
      </c>
      <c r="O10" s="28">
        <f t="shared" si="1"/>
        <v>777920</v>
      </c>
      <c r="P10" s="28">
        <f t="shared" si="1"/>
        <v>82500</v>
      </c>
      <c r="Q10" s="28">
        <f t="shared" si="1"/>
        <v>547920</v>
      </c>
      <c r="R10" s="28">
        <f t="shared" si="1"/>
        <v>70500</v>
      </c>
      <c r="S10" s="28">
        <f t="shared" si="1"/>
        <v>247920</v>
      </c>
      <c r="T10" s="28">
        <f t="shared" si="1"/>
        <v>60500</v>
      </c>
      <c r="U10" s="28">
        <f t="shared" si="1"/>
        <v>247920</v>
      </c>
      <c r="V10" s="28">
        <f t="shared" si="1"/>
        <v>48500</v>
      </c>
      <c r="W10" s="28">
        <f t="shared" si="1"/>
        <v>0</v>
      </c>
      <c r="X10" s="28">
        <f t="shared" si="1"/>
        <v>0</v>
      </c>
      <c r="Y10" s="28">
        <f t="shared" si="1"/>
        <v>0</v>
      </c>
      <c r="Z10" s="28">
        <f t="shared" si="1"/>
        <v>0</v>
      </c>
      <c r="AA10" s="28">
        <f t="shared" si="1"/>
        <v>0</v>
      </c>
      <c r="AB10" s="28">
        <f t="shared" si="1"/>
        <v>0</v>
      </c>
      <c r="AC10" s="28">
        <f t="shared" si="1"/>
        <v>0</v>
      </c>
      <c r="AD10" s="28">
        <f t="shared" si="1"/>
        <v>0</v>
      </c>
      <c r="AE10" s="28">
        <f t="shared" si="1"/>
        <v>0</v>
      </c>
      <c r="AF10" s="28">
        <f t="shared" si="1"/>
        <v>0</v>
      </c>
      <c r="AG10" s="28">
        <f t="shared" si="1"/>
        <v>0</v>
      </c>
      <c r="AH10" s="28">
        <f t="shared" si="1"/>
        <v>0</v>
      </c>
      <c r="AI10" s="28">
        <f t="shared" si="1"/>
        <v>247920</v>
      </c>
      <c r="AJ10" s="28">
        <f t="shared" si="1"/>
        <v>35500</v>
      </c>
      <c r="AK10" s="28">
        <f t="shared" si="1"/>
        <v>101920</v>
      </c>
      <c r="AL10" s="28">
        <f t="shared" si="1"/>
        <v>17500</v>
      </c>
      <c r="AM10" s="28">
        <f t="shared" si="1"/>
        <v>101920</v>
      </c>
      <c r="AN10" s="28">
        <f t="shared" si="1"/>
        <v>14500</v>
      </c>
      <c r="AO10" s="28">
        <f t="shared" si="1"/>
        <v>101920</v>
      </c>
      <c r="AP10" s="28">
        <f t="shared" si="1"/>
        <v>11500</v>
      </c>
      <c r="AQ10" s="28">
        <f t="shared" si="1"/>
        <v>101920</v>
      </c>
      <c r="AR10" s="28">
        <f t="shared" si="1"/>
        <v>8500</v>
      </c>
      <c r="AS10" s="28">
        <f t="shared" si="1"/>
        <v>101920</v>
      </c>
      <c r="AT10" s="28">
        <f t="shared" si="1"/>
        <v>5500</v>
      </c>
      <c r="AU10" s="28">
        <f t="shared" si="1"/>
        <v>101920</v>
      </c>
      <c r="AV10" s="28">
        <f t="shared" si="1"/>
        <v>2500</v>
      </c>
      <c r="AW10" s="28">
        <f t="shared" si="1"/>
        <v>77174</v>
      </c>
      <c r="AX10" s="28">
        <f t="shared" si="1"/>
        <v>500</v>
      </c>
      <c r="AY10" s="34">
        <f>C10+E10+G10+I10+K10+M10+O10+Q10+S10+U10</f>
        <v>25378028</v>
      </c>
    </row>
    <row r="11" spans="1:51" ht="46.5" customHeight="1">
      <c r="A11" s="41" t="s">
        <v>30</v>
      </c>
      <c r="B11" s="42" t="s">
        <v>36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4">
        <f>C11+E11+G11+I11+K11+M11+O11+Q11+S11+U11++AI11+AK11+AM11+AO11+AQ11+AS11+AU11+AW11</f>
        <v>0</v>
      </c>
    </row>
    <row r="12" spans="1:52" ht="36.75" customHeight="1">
      <c r="A12" s="45" t="s">
        <v>37</v>
      </c>
      <c r="B12" s="46" t="s">
        <v>25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>
        <f aca="true" t="shared" si="2" ref="AK12:AZ12">AK13+AK14</f>
        <v>0</v>
      </c>
      <c r="AL12" s="47">
        <f t="shared" si="2"/>
        <v>0</v>
      </c>
      <c r="AM12" s="47">
        <f t="shared" si="2"/>
        <v>0</v>
      </c>
      <c r="AN12" s="47">
        <f t="shared" si="2"/>
        <v>0</v>
      </c>
      <c r="AO12" s="47">
        <f t="shared" si="2"/>
        <v>0</v>
      </c>
      <c r="AP12" s="47">
        <f t="shared" si="2"/>
        <v>0</v>
      </c>
      <c r="AQ12" s="47">
        <f t="shared" si="2"/>
        <v>0</v>
      </c>
      <c r="AR12" s="47">
        <f t="shared" si="2"/>
        <v>0</v>
      </c>
      <c r="AS12" s="47">
        <f t="shared" si="2"/>
        <v>0</v>
      </c>
      <c r="AT12" s="47">
        <f t="shared" si="2"/>
        <v>0</v>
      </c>
      <c r="AU12" s="47">
        <f t="shared" si="2"/>
        <v>0</v>
      </c>
      <c r="AV12" s="47">
        <f t="shared" si="2"/>
        <v>0</v>
      </c>
      <c r="AW12" s="47">
        <f t="shared" si="2"/>
        <v>0</v>
      </c>
      <c r="AX12" s="47">
        <f t="shared" si="2"/>
        <v>0</v>
      </c>
      <c r="AY12" s="47">
        <f t="shared" si="2"/>
        <v>0</v>
      </c>
      <c r="AZ12" s="47">
        <f t="shared" si="2"/>
        <v>0</v>
      </c>
    </row>
    <row r="13" spans="1:51" ht="23.25" customHeight="1">
      <c r="A13" s="35">
        <v>1</v>
      </c>
      <c r="B13" s="36" t="s">
        <v>32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44">
        <f>C13+E13+G13+I13+K13+M13+O13+Q13+S13+U13++AI13+AK13+AM13+AO13+AQ13+AS13+AU13+AW13</f>
        <v>0</v>
      </c>
    </row>
    <row r="14" spans="1:53" ht="21" customHeight="1">
      <c r="A14" s="35">
        <v>2</v>
      </c>
      <c r="B14" s="36" t="s">
        <v>33</v>
      </c>
      <c r="C14" s="34"/>
      <c r="D14" s="34"/>
      <c r="E14" s="34"/>
      <c r="F14" s="48"/>
      <c r="G14" s="34"/>
      <c r="H14" s="48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7"/>
      <c r="BA14" s="49"/>
    </row>
    <row r="15" spans="1:51" ht="27.75" customHeight="1" thickBot="1">
      <c r="A15" s="38">
        <v>3</v>
      </c>
      <c r="B15" s="39" t="s">
        <v>22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34">
        <f>C15+E15+G15+I15+K15+M15+O15+Q15+S15+U15</f>
        <v>0</v>
      </c>
    </row>
    <row r="16" spans="1:55" s="50" customFormat="1" ht="21" customHeight="1" thickBot="1">
      <c r="A16" s="51"/>
      <c r="B16" s="52" t="s">
        <v>23</v>
      </c>
      <c r="C16" s="53">
        <f aca="true" t="shared" si="3" ref="C16:BC16">C11+C12</f>
        <v>0</v>
      </c>
      <c r="D16" s="53">
        <f t="shared" si="3"/>
        <v>0</v>
      </c>
      <c r="E16" s="53">
        <f t="shared" si="3"/>
        <v>0</v>
      </c>
      <c r="F16" s="53">
        <f t="shared" si="3"/>
        <v>0</v>
      </c>
      <c r="G16" s="53">
        <f t="shared" si="3"/>
        <v>0</v>
      </c>
      <c r="H16" s="53">
        <f t="shared" si="3"/>
        <v>0</v>
      </c>
      <c r="I16" s="53">
        <f t="shared" si="3"/>
        <v>0</v>
      </c>
      <c r="J16" s="53">
        <f t="shared" si="3"/>
        <v>0</v>
      </c>
      <c r="K16" s="53">
        <f t="shared" si="3"/>
        <v>0</v>
      </c>
      <c r="L16" s="53">
        <f t="shared" si="3"/>
        <v>0</v>
      </c>
      <c r="M16" s="53">
        <f t="shared" si="3"/>
        <v>0</v>
      </c>
      <c r="N16" s="53">
        <f t="shared" si="3"/>
        <v>0</v>
      </c>
      <c r="O16" s="53">
        <f t="shared" si="3"/>
        <v>0</v>
      </c>
      <c r="P16" s="53">
        <f t="shared" si="3"/>
        <v>0</v>
      </c>
      <c r="Q16" s="53">
        <f t="shared" si="3"/>
        <v>0</v>
      </c>
      <c r="R16" s="53">
        <f t="shared" si="3"/>
        <v>0</v>
      </c>
      <c r="S16" s="53">
        <f t="shared" si="3"/>
        <v>0</v>
      </c>
      <c r="T16" s="53">
        <f t="shared" si="3"/>
        <v>0</v>
      </c>
      <c r="U16" s="53">
        <f t="shared" si="3"/>
        <v>0</v>
      </c>
      <c r="V16" s="53">
        <f t="shared" si="3"/>
        <v>0</v>
      </c>
      <c r="W16" s="53">
        <f t="shared" si="3"/>
        <v>0</v>
      </c>
      <c r="X16" s="53">
        <f t="shared" si="3"/>
        <v>0</v>
      </c>
      <c r="Y16" s="53">
        <f t="shared" si="3"/>
        <v>0</v>
      </c>
      <c r="Z16" s="53">
        <f t="shared" si="3"/>
        <v>0</v>
      </c>
      <c r="AA16" s="53">
        <f t="shared" si="3"/>
        <v>0</v>
      </c>
      <c r="AB16" s="53">
        <f t="shared" si="3"/>
        <v>0</v>
      </c>
      <c r="AC16" s="53">
        <f t="shared" si="3"/>
        <v>0</v>
      </c>
      <c r="AD16" s="53">
        <f t="shared" si="3"/>
        <v>0</v>
      </c>
      <c r="AE16" s="53">
        <f t="shared" si="3"/>
        <v>0</v>
      </c>
      <c r="AF16" s="53">
        <f t="shared" si="3"/>
        <v>0</v>
      </c>
      <c r="AG16" s="53">
        <f t="shared" si="3"/>
        <v>0</v>
      </c>
      <c r="AH16" s="53">
        <f t="shared" si="3"/>
        <v>0</v>
      </c>
      <c r="AI16" s="53">
        <f t="shared" si="3"/>
        <v>0</v>
      </c>
      <c r="AJ16" s="53">
        <f t="shared" si="3"/>
        <v>0</v>
      </c>
      <c r="AK16" s="53">
        <f t="shared" si="3"/>
        <v>0</v>
      </c>
      <c r="AL16" s="53">
        <f t="shared" si="3"/>
        <v>0</v>
      </c>
      <c r="AM16" s="53">
        <f t="shared" si="3"/>
        <v>0</v>
      </c>
      <c r="AN16" s="53">
        <f t="shared" si="3"/>
        <v>0</v>
      </c>
      <c r="AO16" s="53">
        <f t="shared" si="3"/>
        <v>0</v>
      </c>
      <c r="AP16" s="53">
        <f t="shared" si="3"/>
        <v>0</v>
      </c>
      <c r="AQ16" s="53">
        <f t="shared" si="3"/>
        <v>0</v>
      </c>
      <c r="AR16" s="53">
        <f t="shared" si="3"/>
        <v>0</v>
      </c>
      <c r="AS16" s="53">
        <f t="shared" si="3"/>
        <v>0</v>
      </c>
      <c r="AT16" s="53">
        <f t="shared" si="3"/>
        <v>0</v>
      </c>
      <c r="AU16" s="53">
        <f t="shared" si="3"/>
        <v>0</v>
      </c>
      <c r="AV16" s="53">
        <f t="shared" si="3"/>
        <v>0</v>
      </c>
      <c r="AW16" s="53">
        <f t="shared" si="3"/>
        <v>0</v>
      </c>
      <c r="AX16" s="53">
        <f t="shared" si="3"/>
        <v>0</v>
      </c>
      <c r="AY16" s="53">
        <f>AY11+AY12</f>
        <v>0</v>
      </c>
      <c r="AZ16" s="53">
        <f t="shared" si="3"/>
        <v>0</v>
      </c>
      <c r="BA16" s="53">
        <f t="shared" si="3"/>
        <v>0</v>
      </c>
      <c r="BB16" s="53">
        <f t="shared" si="3"/>
        <v>0</v>
      </c>
      <c r="BC16" s="53">
        <f t="shared" si="3"/>
        <v>0</v>
      </c>
    </row>
    <row r="17" spans="1:52" s="50" customFormat="1" ht="21.75" customHeight="1" thickBot="1">
      <c r="A17" s="51"/>
      <c r="B17" s="52" t="s">
        <v>26</v>
      </c>
      <c r="C17" s="53">
        <f aca="true" t="shared" si="4" ref="C17:AX17">C10+C16</f>
        <v>5663802</v>
      </c>
      <c r="D17" s="53">
        <f>D10+D16</f>
        <v>350000</v>
      </c>
      <c r="E17" s="53">
        <f t="shared" si="4"/>
        <v>8173107</v>
      </c>
      <c r="F17" s="53">
        <f t="shared" si="4"/>
        <v>600000</v>
      </c>
      <c r="G17" s="53">
        <f t="shared" si="4"/>
        <v>2321103</v>
      </c>
      <c r="H17" s="53">
        <f t="shared" si="4"/>
        <v>500000</v>
      </c>
      <c r="I17" s="53">
        <f t="shared" si="4"/>
        <v>2308496</v>
      </c>
      <c r="J17" s="53">
        <f t="shared" si="4"/>
        <v>450000</v>
      </c>
      <c r="K17" s="53">
        <f t="shared" si="4"/>
        <v>2574920</v>
      </c>
      <c r="L17" s="53">
        <f t="shared" si="4"/>
        <v>330000</v>
      </c>
      <c r="M17" s="53">
        <f t="shared" si="4"/>
        <v>2514920</v>
      </c>
      <c r="N17" s="53">
        <f t="shared" si="4"/>
        <v>225500</v>
      </c>
      <c r="O17" s="53">
        <f t="shared" si="4"/>
        <v>777920</v>
      </c>
      <c r="P17" s="53">
        <f t="shared" si="4"/>
        <v>82500</v>
      </c>
      <c r="Q17" s="53">
        <f t="shared" si="4"/>
        <v>547920</v>
      </c>
      <c r="R17" s="53">
        <f t="shared" si="4"/>
        <v>70500</v>
      </c>
      <c r="S17" s="53">
        <f t="shared" si="4"/>
        <v>247920</v>
      </c>
      <c r="T17" s="53">
        <f t="shared" si="4"/>
        <v>60500</v>
      </c>
      <c r="U17" s="53">
        <f t="shared" si="4"/>
        <v>247920</v>
      </c>
      <c r="V17" s="53">
        <f t="shared" si="4"/>
        <v>48500</v>
      </c>
      <c r="W17" s="53">
        <f t="shared" si="4"/>
        <v>0</v>
      </c>
      <c r="X17" s="53">
        <f t="shared" si="4"/>
        <v>0</v>
      </c>
      <c r="Y17" s="53">
        <f t="shared" si="4"/>
        <v>0</v>
      </c>
      <c r="Z17" s="53">
        <f t="shared" si="4"/>
        <v>0</v>
      </c>
      <c r="AA17" s="53">
        <f t="shared" si="4"/>
        <v>0</v>
      </c>
      <c r="AB17" s="53">
        <f t="shared" si="4"/>
        <v>0</v>
      </c>
      <c r="AC17" s="53">
        <f t="shared" si="4"/>
        <v>0</v>
      </c>
      <c r="AD17" s="53">
        <f t="shared" si="4"/>
        <v>0</v>
      </c>
      <c r="AE17" s="53">
        <f t="shared" si="4"/>
        <v>0</v>
      </c>
      <c r="AF17" s="53">
        <f t="shared" si="4"/>
        <v>0</v>
      </c>
      <c r="AG17" s="53">
        <f t="shared" si="4"/>
        <v>0</v>
      </c>
      <c r="AH17" s="53">
        <f t="shared" si="4"/>
        <v>0</v>
      </c>
      <c r="AI17" s="53">
        <f t="shared" si="4"/>
        <v>247920</v>
      </c>
      <c r="AJ17" s="53">
        <f t="shared" si="4"/>
        <v>35500</v>
      </c>
      <c r="AK17" s="53">
        <f t="shared" si="4"/>
        <v>101920</v>
      </c>
      <c r="AL17" s="53">
        <f t="shared" si="4"/>
        <v>17500</v>
      </c>
      <c r="AM17" s="53">
        <f t="shared" si="4"/>
        <v>101920</v>
      </c>
      <c r="AN17" s="53">
        <f t="shared" si="4"/>
        <v>14500</v>
      </c>
      <c r="AO17" s="53">
        <f t="shared" si="4"/>
        <v>101920</v>
      </c>
      <c r="AP17" s="53">
        <f t="shared" si="4"/>
        <v>11500</v>
      </c>
      <c r="AQ17" s="53">
        <f t="shared" si="4"/>
        <v>101920</v>
      </c>
      <c r="AR17" s="53">
        <f t="shared" si="4"/>
        <v>8500</v>
      </c>
      <c r="AS17" s="53">
        <f t="shared" si="4"/>
        <v>101920</v>
      </c>
      <c r="AT17" s="53">
        <f t="shared" si="4"/>
        <v>5500</v>
      </c>
      <c r="AU17" s="53">
        <f t="shared" si="4"/>
        <v>101920</v>
      </c>
      <c r="AV17" s="53">
        <f t="shared" si="4"/>
        <v>2500</v>
      </c>
      <c r="AW17" s="53">
        <f t="shared" si="4"/>
        <v>77174</v>
      </c>
      <c r="AX17" s="53">
        <f t="shared" si="4"/>
        <v>500</v>
      </c>
      <c r="AY17" s="54">
        <f>C17+E17+G17+I17+K17+M17+O17+Q17+S17+U17++AI17+AK17+AM17+AO17+AQ17+AS17+AU17+AW17</f>
        <v>26314642</v>
      </c>
      <c r="AZ17" s="55">
        <f>E17+G17+I17+K17+M17+O17+Q17+S17+U17+AI17+AK17+AM17+AO17+AQ17+AS17+AU17+AW17</f>
        <v>20650840</v>
      </c>
    </row>
    <row r="18" s="50" customFormat="1" ht="12.75"/>
    <row r="19" ht="12.75">
      <c r="A19" s="50"/>
    </row>
    <row r="20" spans="1:2" ht="12.75">
      <c r="A20" s="50"/>
      <c r="B20" s="10" t="s">
        <v>34</v>
      </c>
    </row>
    <row r="21" spans="1:46" ht="12.75">
      <c r="A21" s="50"/>
      <c r="AJ21" s="10" t="s">
        <v>104</v>
      </c>
      <c r="AL21" s="68">
        <v>12096310</v>
      </c>
      <c r="AM21" s="68"/>
      <c r="AN21" s="68">
        <v>5077519</v>
      </c>
      <c r="AO21" s="68"/>
      <c r="AP21" s="68">
        <v>500000</v>
      </c>
      <c r="AQ21" s="68"/>
      <c r="AS21" s="68">
        <f>AL21+AN21+AP21</f>
        <v>17673829</v>
      </c>
      <c r="AT21" s="68"/>
    </row>
    <row r="22" spans="1:42" ht="12.75">
      <c r="A22" s="50"/>
      <c r="AL22" s="56"/>
      <c r="AM22" s="56"/>
      <c r="AN22" s="56"/>
      <c r="AO22" s="56"/>
      <c r="AP22" s="56"/>
    </row>
    <row r="23" spans="1:42" ht="12.75">
      <c r="A23" s="50"/>
      <c r="AL23" s="56"/>
      <c r="AM23" s="56"/>
      <c r="AN23" s="56"/>
      <c r="AO23" s="56"/>
      <c r="AP23" s="56"/>
    </row>
    <row r="24" spans="1:42" ht="12.75">
      <c r="A24" s="50"/>
      <c r="T24" s="10" t="s">
        <v>107</v>
      </c>
      <c r="AL24" s="56"/>
      <c r="AM24" s="56"/>
      <c r="AN24" s="56"/>
      <c r="AO24" s="56"/>
      <c r="AP24" s="56"/>
    </row>
    <row r="25" ht="12.75">
      <c r="A25" s="50"/>
    </row>
    <row r="26" spans="1:35" ht="12.75">
      <c r="A26" s="50"/>
      <c r="U26" s="10">
        <v>2012</v>
      </c>
      <c r="V26" s="62">
        <v>88103</v>
      </c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</row>
    <row r="27" spans="1:35" ht="12.75">
      <c r="A27" s="50"/>
      <c r="U27" s="10">
        <v>2013</v>
      </c>
      <c r="V27" s="62">
        <v>50000</v>
      </c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</row>
    <row r="28" spans="1:35" ht="12.75">
      <c r="A28" s="50"/>
      <c r="U28" s="10">
        <v>2014</v>
      </c>
      <c r="V28" s="62">
        <v>300000</v>
      </c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</row>
    <row r="29" spans="1:35" ht="12.75">
      <c r="A29" s="50"/>
      <c r="U29" s="10">
        <v>2015</v>
      </c>
      <c r="V29" s="62">
        <v>450000</v>
      </c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ht="12.75">
      <c r="A30" s="50"/>
      <c r="U30" s="10">
        <v>2016</v>
      </c>
      <c r="V30" s="62">
        <v>500000</v>
      </c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1:35" ht="12.75">
      <c r="A31" s="50"/>
      <c r="U31" s="10">
        <v>2017</v>
      </c>
      <c r="V31" s="62">
        <v>300000</v>
      </c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</row>
    <row r="32" spans="1:35" ht="12.75">
      <c r="A32" s="50"/>
      <c r="V32" s="62">
        <f>V26+V27+V28+V29+V30+V31</f>
        <v>1688103</v>
      </c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</row>
    <row r="33" spans="1:22" ht="12.75">
      <c r="A33" s="50"/>
      <c r="V33" s="56"/>
    </row>
    <row r="34" spans="1:22" ht="12.75">
      <c r="A34" s="50"/>
      <c r="V34" s="56"/>
    </row>
    <row r="35" spans="1:22" ht="12.75">
      <c r="A35" s="50"/>
      <c r="V35" s="56"/>
    </row>
    <row r="36" spans="1:22" ht="12.75">
      <c r="A36" s="50"/>
      <c r="V36" s="56"/>
    </row>
    <row r="37" spans="1:22" ht="12.75">
      <c r="A37" s="50"/>
      <c r="V37" s="56"/>
    </row>
    <row r="38" ht="12.75">
      <c r="A38" s="50"/>
    </row>
    <row r="39" ht="12.75">
      <c r="A39" s="50"/>
    </row>
    <row r="40" ht="12.75">
      <c r="A40" s="50"/>
    </row>
    <row r="41" ht="12.75">
      <c r="A41" s="50"/>
    </row>
    <row r="42" ht="12.75">
      <c r="A42" s="50"/>
    </row>
    <row r="43" ht="12.75">
      <c r="A43" s="50"/>
    </row>
    <row r="44" ht="12.75">
      <c r="A44" s="50"/>
    </row>
    <row r="45" ht="12.75">
      <c r="A45" s="50"/>
    </row>
    <row r="46" ht="12.75">
      <c r="A46" s="50"/>
    </row>
    <row r="47" ht="12.75">
      <c r="A47" s="50"/>
    </row>
    <row r="48" ht="12.75">
      <c r="A48" s="50"/>
    </row>
    <row r="49" ht="12.75">
      <c r="A49" s="50"/>
    </row>
    <row r="50" ht="12.75">
      <c r="A50" s="50"/>
    </row>
    <row r="51" ht="12.75">
      <c r="A51" s="50"/>
    </row>
    <row r="52" ht="12.75">
      <c r="A52" s="50"/>
    </row>
    <row r="53" ht="12.75">
      <c r="A53" s="50"/>
    </row>
    <row r="54" ht="12.75">
      <c r="A54" s="50"/>
    </row>
    <row r="55" ht="12.75">
      <c r="A55" s="50"/>
    </row>
    <row r="56" ht="12.75">
      <c r="A56" s="50"/>
    </row>
    <row r="57" ht="12.75">
      <c r="A57" s="50"/>
    </row>
    <row r="58" ht="12.75">
      <c r="A58" s="50"/>
    </row>
    <row r="59" ht="12.75">
      <c r="A59" s="50"/>
    </row>
    <row r="60" ht="12.75">
      <c r="A60" s="50"/>
    </row>
    <row r="61" ht="12.75">
      <c r="A61" s="50"/>
    </row>
    <row r="62" ht="12.75">
      <c r="A62" s="50"/>
    </row>
    <row r="63" ht="12.75">
      <c r="A63" s="50"/>
    </row>
    <row r="64" ht="12.75">
      <c r="A64" s="50"/>
    </row>
    <row r="65" ht="12.75">
      <c r="A65" s="50"/>
    </row>
    <row r="66" ht="12.75">
      <c r="A66" s="50"/>
    </row>
    <row r="67" ht="12.75">
      <c r="A67" s="50"/>
    </row>
    <row r="68" ht="12.75">
      <c r="A68" s="50"/>
    </row>
    <row r="69" ht="12.75">
      <c r="A69" s="50"/>
    </row>
    <row r="70" ht="12.75">
      <c r="A70" s="50"/>
    </row>
    <row r="71" ht="12.75">
      <c r="A71" s="50"/>
    </row>
    <row r="72" ht="12.75">
      <c r="A72" s="50"/>
    </row>
    <row r="73" ht="12.75">
      <c r="A73" s="50"/>
    </row>
    <row r="74" ht="12.75">
      <c r="A74" s="50"/>
    </row>
    <row r="75" ht="12.75">
      <c r="A75" s="50"/>
    </row>
    <row r="76" ht="12.75">
      <c r="A76" s="50"/>
    </row>
    <row r="77" ht="12.75">
      <c r="A77" s="50"/>
    </row>
    <row r="78" ht="12.75">
      <c r="A78" s="50"/>
    </row>
    <row r="79" ht="12.75">
      <c r="A79" s="50"/>
    </row>
    <row r="80" ht="12.75">
      <c r="A80" s="50"/>
    </row>
    <row r="81" ht="12.75">
      <c r="A81" s="50"/>
    </row>
    <row r="82" ht="12.75">
      <c r="A82" s="50"/>
    </row>
    <row r="83" ht="12.75">
      <c r="A83" s="50"/>
    </row>
    <row r="84" ht="12.75">
      <c r="A84" s="50"/>
    </row>
    <row r="85" ht="12.75">
      <c r="A85" s="50"/>
    </row>
    <row r="86" ht="12.75">
      <c r="A86" s="50"/>
    </row>
    <row r="87" ht="12.75">
      <c r="A87" s="50"/>
    </row>
    <row r="88" ht="12.75">
      <c r="A88" s="50"/>
    </row>
    <row r="89" ht="12.75">
      <c r="A89" s="50"/>
    </row>
    <row r="90" ht="12.75">
      <c r="A90" s="50"/>
    </row>
    <row r="91" ht="12.75">
      <c r="A91" s="50"/>
    </row>
    <row r="92" ht="12.75">
      <c r="A92" s="50"/>
    </row>
    <row r="93" ht="12.75">
      <c r="A93" s="50"/>
    </row>
    <row r="94" ht="12.75">
      <c r="A94" s="50"/>
    </row>
    <row r="95" ht="12.75">
      <c r="A95" s="50"/>
    </row>
    <row r="96" ht="12.75">
      <c r="A96" s="50"/>
    </row>
    <row r="97" ht="12.75">
      <c r="A97" s="50"/>
    </row>
    <row r="98" ht="12.75">
      <c r="A98" s="50"/>
    </row>
    <row r="99" ht="12.75">
      <c r="A99" s="50"/>
    </row>
    <row r="100" ht="12.75">
      <c r="A100" s="50"/>
    </row>
    <row r="101" ht="12.75">
      <c r="A101" s="50"/>
    </row>
    <row r="102" ht="12.75">
      <c r="A102" s="50"/>
    </row>
    <row r="103" ht="12.75">
      <c r="A103" s="50"/>
    </row>
    <row r="104" ht="12.75">
      <c r="A104" s="50"/>
    </row>
    <row r="105" ht="12.75">
      <c r="A105" s="50"/>
    </row>
    <row r="106" ht="12.75">
      <c r="A106" s="50"/>
    </row>
    <row r="107" ht="12.75">
      <c r="A107" s="50"/>
    </row>
    <row r="108" ht="12.75">
      <c r="A108" s="50"/>
    </row>
  </sheetData>
  <sheetProtection/>
  <mergeCells count="39">
    <mergeCell ref="AL21:AM21"/>
    <mergeCell ref="AN21:AO21"/>
    <mergeCell ref="AP21:AQ21"/>
    <mergeCell ref="AS21:AT21"/>
    <mergeCell ref="B4:B5"/>
    <mergeCell ref="AI4:AJ4"/>
    <mergeCell ref="A4:A5"/>
    <mergeCell ref="C4:D4"/>
    <mergeCell ref="E4:F4"/>
    <mergeCell ref="I4:J4"/>
    <mergeCell ref="AK4:AL4"/>
    <mergeCell ref="AM4:AN4"/>
    <mergeCell ref="G4:H4"/>
    <mergeCell ref="AA4:AB4"/>
    <mergeCell ref="AC4:AD4"/>
    <mergeCell ref="AE4:AF4"/>
    <mergeCell ref="K4:L4"/>
    <mergeCell ref="M4:N4"/>
    <mergeCell ref="O4:P4"/>
    <mergeCell ref="W4:X4"/>
    <mergeCell ref="AW4:AX4"/>
    <mergeCell ref="AO4:AP4"/>
    <mergeCell ref="AQ4:AR4"/>
    <mergeCell ref="AS4:AT4"/>
    <mergeCell ref="AU4:AV4"/>
    <mergeCell ref="V27:AI27"/>
    <mergeCell ref="V26:AI26"/>
    <mergeCell ref="V29:AI29"/>
    <mergeCell ref="K1:M1"/>
    <mergeCell ref="Q4:R4"/>
    <mergeCell ref="AG4:AH4"/>
    <mergeCell ref="S4:T4"/>
    <mergeCell ref="U4:V4"/>
    <mergeCell ref="Z1:AH1"/>
    <mergeCell ref="Y4:Z4"/>
    <mergeCell ref="V30:AI30"/>
    <mergeCell ref="V31:AI31"/>
    <mergeCell ref="V32:AI32"/>
    <mergeCell ref="V28:AI28"/>
  </mergeCells>
  <printOptions horizontalCentered="1"/>
  <pageMargins left="0" right="0" top="0.984251968503937" bottom="0.984251968503937" header="0.5118110236220472" footer="0.5118110236220472"/>
  <pageSetup fitToWidth="2" fitToHeight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Izba Obrachunkowa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Ksiegeugw</cp:lastModifiedBy>
  <cp:lastPrinted>2011-02-07T07:43:29Z</cp:lastPrinted>
  <dcterms:created xsi:type="dcterms:W3CDTF">2005-10-07T10:26:29Z</dcterms:created>
  <dcterms:modified xsi:type="dcterms:W3CDTF">2011-02-07T07:44:32Z</dcterms:modified>
  <cp:category/>
  <cp:version/>
  <cp:contentType/>
  <cp:contentStatus/>
</cp:coreProperties>
</file>